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styles.xml" ContentType="application/vnd.openxmlformats-officedocument.spreadsheetml.styles+xml"/>
  <Override PartName="/xl/drawings/drawing6.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27.xml" ContentType="application/vnd.openxmlformats-officedocument.spreadsheetml.externalLink+xml"/>
  <Override PartName="/xl/externalLinks/externalLink36.xml" ContentType="application/vnd.openxmlformats-officedocument.spreadsheetml.externalLink+xml"/>
  <Override PartName="/xl/externalLinks/externalLink45.xml" ContentType="application/vnd.openxmlformats-officedocument.spreadsheetml.externalLink+xml"/>
  <Override PartName="/xl/drawings/drawing4.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25.xml" ContentType="application/vnd.openxmlformats-officedocument.spreadsheetml.externalLink+xml"/>
  <Override PartName="/xl/externalLinks/externalLink34.xml" ContentType="application/vnd.openxmlformats-officedocument.spreadsheetml.externalLink+xml"/>
  <Override PartName="/xl/externalLinks/externalLink43.xml" ContentType="application/vnd.openxmlformats-officedocument.spreadsheetml.externalLink+xml"/>
  <Override PartName="/xl/drawings/drawing2.xml" ContentType="application/vnd.openxmlformats-officedocument.drawing+xml"/>
  <Override PartName="/xl/comments4.xml" ContentType="application/vnd.openxmlformats-officedocument.spreadsheetml.comments+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worksheets/sheet29.xml" ContentType="application/vnd.openxmlformats-officedocument.spreadsheetml.worksheet+xml"/>
  <Override PartName="/xl/worksheets/sheet38.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drawings/drawing5.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drawings/drawing1.xml" ContentType="application/vnd.openxmlformats-officedocument.drawing+xml"/>
  <Override PartName="/xl/comments3.xml" ContentType="application/vnd.openxmlformats-officedocument.spreadsheetml.comments+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externalLinks/externalLink29.xml" ContentType="application/vnd.openxmlformats-officedocument.spreadsheetml.externalLink+xml"/>
  <Override PartName="/xl/theme/theme1.xml" ContentType="application/vnd.openxmlformats-officedocument.them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showObjects="placeholders" defaultThemeVersion="124226"/>
  <bookViews>
    <workbookView xWindow="15345" yWindow="135" windowWidth="12825" windowHeight="12030" tabRatio="914" firstSheet="5" activeTab="13"/>
  </bookViews>
  <sheets>
    <sheet name="Inspection chambers" sheetId="31" state="hidden" r:id="rId1"/>
    <sheet name="NP 3 450 mm dia (2)" sheetId="40" state="hidden" r:id="rId2"/>
    <sheet name="Man Hole data 0.75m-0.90m1.20m" sheetId="26" state="hidden" r:id="rId3"/>
    <sheet name="Cover" sheetId="15" state="hidden" r:id="rId4"/>
    <sheet name="Laying Jointing of RCC SS pipe " sheetId="25" state="hidden" r:id="rId5"/>
    <sheet name="Cover pg" sheetId="66" r:id="rId6"/>
    <sheet name="inspection report" sheetId="62" r:id="rId7"/>
    <sheet name="Spec Report" sheetId="61" r:id="rId8"/>
    <sheet name="Longitudinal Section" sheetId="64" r:id="rId9"/>
    <sheet name="Long Sect 2" sheetId="65" r:id="rId10"/>
    <sheet name="Key map" sheetId="63" r:id="rId11"/>
    <sheet name="Schedule A" sheetId="67" r:id="rId12"/>
    <sheet name="Final Estimate" sheetId="59" r:id="rId13"/>
    <sheet name="Seignorage Calculation" sheetId="60" r:id="rId14"/>
    <sheet name=" Estimate" sheetId="20" state="hidden" r:id="rId15"/>
    <sheet name="Man hole with 2nd Class  Bricks" sheetId="23" r:id="rId16"/>
    <sheet name=" Brickwork Manhole " sheetId="27" state="hidden" r:id="rId17"/>
    <sheet name="Lead" sheetId="7" state="hidden" r:id="rId18"/>
    <sheet name="Conveyance" sheetId="16" state="hidden" r:id="rId19"/>
    <sheet name="SPC" sheetId="18" state="hidden" r:id="rId20"/>
    <sheet name="EXTRA SHEET" sheetId="29" state="hidden" r:id="rId21"/>
    <sheet name="Sheet2" sheetId="30" state="hidden" r:id="rId22"/>
    <sheet name="Sheet1" sheetId="32" state="hidden" r:id="rId23"/>
    <sheet name=" Conv 19_20" sheetId="33" state="hidden" r:id="rId24"/>
    <sheet name="Datas P7" sheetId="19" r:id="rId25"/>
    <sheet name="Cost of RCC NP2-NP3 SS pipes " sheetId="24" r:id="rId26"/>
    <sheet name="pipes" sheetId="39" state="hidden" r:id="rId27"/>
    <sheet name="stoneware pipes" sheetId="57" r:id="rId28"/>
    <sheet name="Lead Chart 24-25" sheetId="56" r:id="rId29"/>
    <sheet name="Sheet4" sheetId="51" state="hidden" r:id="rId30"/>
    <sheet name="NP 3 800 mm dia (3)" sheetId="41" state="hidden" r:id="rId31"/>
    <sheet name="NP 3 1000 mm dia (4)" sheetId="42" state="hidden" r:id="rId32"/>
    <sheet name="NP 3 300" sheetId="52" state="hidden" r:id="rId33"/>
    <sheet name="NP 3 450 mm dia" sheetId="53" r:id="rId34"/>
    <sheet name="Abst Sht" sheetId="38" state="hidden" r:id="rId35"/>
    <sheet name="Lead 20-21" sheetId="50" state="hidden" r:id="rId36"/>
    <sheet name="Lead 20-21 P7" sheetId="55" state="hidden" r:id="rId37"/>
    <sheet name="NP 3 600" sheetId="54" state="hidden" r:id="rId38"/>
    <sheet name="BOQ" sheetId="37" state="hidden" r:id="rId39"/>
    <sheet name="Sheet6" sheetId="58" state="hidden" r:id="rId40"/>
  </sheets>
  <externalReferences>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s>
  <definedNames>
    <definedName name="______dem2" localSheetId="0" hidden="1">{"pl_t&amp;d",#N/A,FALSE,"p&amp;l_t&amp;D_01_02 (2)"}</definedName>
    <definedName name="_____dem2" localSheetId="0" hidden="1">{"pl_t&amp;d",#N/A,FALSE,"p&amp;l_t&amp;D_01_02 (2)"}</definedName>
    <definedName name="____dem2" localSheetId="0" hidden="1">{"pl_t&amp;d",#N/A,FALSE,"p&amp;l_t&amp;D_01_02 (2)"}</definedName>
    <definedName name="__dem2" localSheetId="0" hidden="1">{"pl_t&amp;d",#N/A,FALSE,"p&amp;l_t&amp;D_01_02 (2)"}</definedName>
    <definedName name="_40MM_HBG" localSheetId="16">#REF!</definedName>
    <definedName name="_40MM_HBG" localSheetId="25">#REF!</definedName>
    <definedName name="_40MM_HBG" localSheetId="4">#REF!</definedName>
    <definedName name="_40MM_HBG" localSheetId="2">#REF!</definedName>
    <definedName name="_40MM_HBG" localSheetId="15">#REF!</definedName>
    <definedName name="_65MM_HBG" localSheetId="31">#REF!</definedName>
    <definedName name="_65MM_HBG" localSheetId="1">#REF!</definedName>
    <definedName name="_65MM_HBG" localSheetId="30">#REF!</definedName>
    <definedName name="_65MM_HBT" localSheetId="16">#REF!</definedName>
    <definedName name="_65MM_HBT" localSheetId="25">#REF!</definedName>
    <definedName name="_65MM_HBT" localSheetId="4">#REF!</definedName>
    <definedName name="_65MM_HBT" localSheetId="2">#REF!</definedName>
    <definedName name="_65MM_HBT" localSheetId="15">#REF!</definedName>
    <definedName name="_65MM_OG" localSheetId="16">#REF!</definedName>
    <definedName name="_65MM_OG" localSheetId="25">#REF!</definedName>
    <definedName name="_65MM_OG" localSheetId="4">#REF!</definedName>
    <definedName name="_65MM_OG" localSheetId="2">#REF!</definedName>
    <definedName name="_65MM_OG" localSheetId="15">#REF!</definedName>
    <definedName name="_bla1" localSheetId="14">[1]leads!$H$7</definedName>
    <definedName name="_cbr1" localSheetId="31">#REF!</definedName>
    <definedName name="_cbr1" localSheetId="1">#REF!</definedName>
    <definedName name="_cbr1" localSheetId="30">#REF!</definedName>
    <definedName name="_cbr2" localSheetId="31">#REF!</definedName>
    <definedName name="_cbr2" localSheetId="1">#REF!</definedName>
    <definedName name="_cbr2" localSheetId="30">#REF!</definedName>
    <definedName name="_cbr3" localSheetId="31">#REF!</definedName>
    <definedName name="_cbr3" localSheetId="1">#REF!</definedName>
    <definedName name="_cbr3" localSheetId="30">#REF!</definedName>
    <definedName name="_cbr4" localSheetId="31">#REF!</definedName>
    <definedName name="_cbr4" localSheetId="1">#REF!</definedName>
    <definedName name="_cbr4" localSheetId="30">#REF!</definedName>
    <definedName name="_ewe1" localSheetId="31">#REF!</definedName>
    <definedName name="_ewe1" localSheetId="1">#REF!</definedName>
    <definedName name="_ewe1" localSheetId="30">#REF!</definedName>
    <definedName name="_Fill" localSheetId="0" hidden="1">'[2]final abstract'!#REF!</definedName>
    <definedName name="_xlnm._FilterDatabase" localSheetId="16" hidden="1">' Brickwork Manhole '!$A$5:$G$28</definedName>
    <definedName name="_xlnm._FilterDatabase" localSheetId="14" hidden="1">' Estimate'!$A$1:$A$110</definedName>
    <definedName name="_xlnm._FilterDatabase" localSheetId="25" hidden="1">'Cost of RCC NP2-NP3 SS pipes '!$A$5:$G$67</definedName>
    <definedName name="_xlnm._FilterDatabase" localSheetId="24" hidden="1">'Datas P7'!$A$5:$G$169</definedName>
    <definedName name="_xlnm._FilterDatabase" localSheetId="4" hidden="1">'Laying Jointing of RCC SS pipe '!$A$5:$G$125</definedName>
    <definedName name="_xlnm._FilterDatabase" localSheetId="17" hidden="1">Lead!$A$8:$S$8</definedName>
    <definedName name="_xlnm._FilterDatabase" localSheetId="2" hidden="1">'Man Hole data 0.75m-0.90m1.20m'!$A$5:$G$503</definedName>
    <definedName name="_xlnm._FilterDatabase" localSheetId="15" hidden="1">'Man hole with 2nd Class  Bricks'!$A$4:$G$60</definedName>
    <definedName name="_l1" localSheetId="14">[3]leads!$A$3:$E$108</definedName>
    <definedName name="_l12" localSheetId="14">#REF!</definedName>
    <definedName name="_l3" localSheetId="14">#REF!</definedName>
    <definedName name="_l4" localSheetId="14">[4]Sheet1!$W$2:$Y$103</definedName>
    <definedName name="_l5" localSheetId="14">#REF!</definedName>
    <definedName name="_LJ6">[5]DATA!$H$245</definedName>
    <definedName name="_mm1" localSheetId="14">[6]r!$F$4</definedName>
    <definedName name="_mm20" localSheetId="31">#REF!</definedName>
    <definedName name="_mm20" localSheetId="1">#REF!</definedName>
    <definedName name="_mm20" localSheetId="30">#REF!</definedName>
    <definedName name="_mm40" localSheetId="31">#REF!</definedName>
    <definedName name="_mm40" localSheetId="1">#REF!</definedName>
    <definedName name="_mm40" localSheetId="30">#REF!</definedName>
    <definedName name="_pc2" localSheetId="31">#REF!</definedName>
    <definedName name="_pc2" localSheetId="1">#REF!</definedName>
    <definedName name="_pc2" localSheetId="30">#REF!</definedName>
    <definedName name="_pv2" localSheetId="31">#REF!</definedName>
    <definedName name="_pv2" localSheetId="1">#REF!</definedName>
    <definedName name="_pv2" localSheetId="30">#REF!</definedName>
    <definedName name="_rr3" localSheetId="14">[7]v!$A$2:$E$51</definedName>
    <definedName name="_rrr1" localSheetId="14">[7]r!$B$1:$I$145</definedName>
    <definedName name="_ss12" localSheetId="14">[8]rdamdata!$J$8</definedName>
    <definedName name="_ss20" localSheetId="14">[8]rdamdata!$J$7</definedName>
    <definedName name="_ss40" localSheetId="14">[8]rdamdata!$J$6</definedName>
    <definedName name="_var1" localSheetId="14">#REF!</definedName>
    <definedName name="_var4" localSheetId="14">#REF!</definedName>
    <definedName name="_vat1" localSheetId="31">#REF!</definedName>
    <definedName name="_vat1" localSheetId="1">#REF!</definedName>
    <definedName name="_vat1" localSheetId="30">#REF!</definedName>
    <definedName name="_vat2" localSheetId="31">#REF!</definedName>
    <definedName name="_vat2" localSheetId="1">#REF!</definedName>
    <definedName name="_vat2" localSheetId="30">#REF!</definedName>
    <definedName name="a" localSheetId="31">#REF!</definedName>
    <definedName name="a" localSheetId="1">#REF!</definedName>
    <definedName name="a" localSheetId="30">#REF!</definedName>
    <definedName name="aa" localSheetId="14">[9]DATA!$B$22</definedName>
    <definedName name="AAAAA" localSheetId="0" hidden="1">{"pl_t&amp;d",#N/A,FALSE,"p&amp;l_t&amp;D_01_02 (2)"}</definedName>
    <definedName name="aat" localSheetId="31">#REF!</definedName>
    <definedName name="aat" localSheetId="1">#REF!</definedName>
    <definedName name="aat" localSheetId="30">#REF!</definedName>
    <definedName name="ab" localSheetId="0" hidden="1">{"pl_td_01_02",#N/A,FALSE,"p&amp;l_t&amp;D_01_02 (2)"}</definedName>
    <definedName name="adfd" localSheetId="31" hidden="1">'[2]final abstract'!#REF!</definedName>
    <definedName name="adfd" localSheetId="1" hidden="1">'[2]final abstract'!#REF!</definedName>
    <definedName name="adfd" localSheetId="30" hidden="1">'[2]final abstract'!#REF!</definedName>
    <definedName name="agl" localSheetId="0" hidden="1">{"pl_t&amp;d",#N/A,FALSE,"p&amp;l_t&amp;D_01_02 (2)"}</definedName>
    <definedName name="Anganwad" localSheetId="0" hidden="1">'[2]final abstract'!#REF!</definedName>
    <definedName name="asdfs" localSheetId="31" hidden="1">'[2]final abstract'!#REF!</definedName>
    <definedName name="asdfs" localSheetId="1" hidden="1">'[2]final abstract'!#REF!</definedName>
    <definedName name="asdfs" localSheetId="30" hidden="1">'[2]final abstract'!#REF!</definedName>
    <definedName name="asdsdfsf" localSheetId="31" hidden="1">'[2]final abstract'!#REF!</definedName>
    <definedName name="asdsdfsf" localSheetId="1" hidden="1">'[2]final abstract'!#REF!</definedName>
    <definedName name="asdsdfsf" localSheetId="30" hidden="1">'[2]final abstract'!#REF!</definedName>
    <definedName name="asf" localSheetId="31">#REF!</definedName>
    <definedName name="asf" localSheetId="1">#REF!</definedName>
    <definedName name="asf" localSheetId="30">#REF!</definedName>
    <definedName name="b" localSheetId="31">#REF!</definedName>
    <definedName name="b" localSheetId="1">#REF!</definedName>
    <definedName name="b" localSheetId="30">#REF!</definedName>
    <definedName name="BINDING" localSheetId="31">#REF!</definedName>
    <definedName name="BINDING" localSheetId="1">#REF!</definedName>
    <definedName name="BINDING" localSheetId="30">#REF!</definedName>
    <definedName name="blast1" localSheetId="14">[10]r!$F$29</definedName>
    <definedName name="blast2" localSheetId="14">[10]r!$F$29</definedName>
    <definedName name="Bricks" localSheetId="31">#REF!</definedName>
    <definedName name="Bricks" localSheetId="1">#REF!</definedName>
    <definedName name="Bricks" localSheetId="30">#REF!</definedName>
    <definedName name="BSG" localSheetId="16">#REF!</definedName>
    <definedName name="BSG" localSheetId="25">#REF!</definedName>
    <definedName name="BSG" localSheetId="4">#REF!</definedName>
    <definedName name="BSG" localSheetId="2">#REF!</definedName>
    <definedName name="BSG" localSheetId="15">#REF!</definedName>
    <definedName name="BT" localSheetId="31">#REF!</definedName>
    <definedName name="BT" localSheetId="1">#REF!</definedName>
    <definedName name="BT" localSheetId="30">#REF!</definedName>
    <definedName name="BT_MIX_SEAL" localSheetId="16">#REF!</definedName>
    <definedName name="BT_MIX_SEAL" localSheetId="25">#REF!</definedName>
    <definedName name="BT_MIX_SEAL" localSheetId="4">#REF!</definedName>
    <definedName name="BT_MIX_SEAL" localSheetId="2">#REF!</definedName>
    <definedName name="BT_MIX_SEAL" localSheetId="15">#REF!</definedName>
    <definedName name="BT_SEAL_COAT" localSheetId="16">#REF!</definedName>
    <definedName name="BT_SEAL_COAT" localSheetId="25">#REF!</definedName>
    <definedName name="BT_SEAL_COAT" localSheetId="4">#REF!</definedName>
    <definedName name="BT_SEAL_COAT" localSheetId="2">#REF!</definedName>
    <definedName name="BT_SEAL_COAT" localSheetId="15">#REF!</definedName>
    <definedName name="BT_SEAL_ON_BTSD" localSheetId="16">#REF!</definedName>
    <definedName name="BT_SEAL_ON_BTSD" localSheetId="25">#REF!</definedName>
    <definedName name="BT_SEAL_ON_BTSD" localSheetId="4">#REF!</definedName>
    <definedName name="BT_SEAL_ON_BTSD" localSheetId="2">#REF!</definedName>
    <definedName name="BT_SEAL_ON_BTSD" localSheetId="15">#REF!</definedName>
    <definedName name="BT_SINGLE_30.45" localSheetId="16">#REF!</definedName>
    <definedName name="BT_SINGLE_30.45" localSheetId="25">#REF!</definedName>
    <definedName name="BT_SINGLE_30.45" localSheetId="4">#REF!</definedName>
    <definedName name="BT_SINGLE_30.45" localSheetId="2">#REF!</definedName>
    <definedName name="BT_SINGLE_30.45" localSheetId="15">#REF!</definedName>
    <definedName name="BT_WEARING_COAT" localSheetId="16">#REF!</definedName>
    <definedName name="BT_WEARING_COAT" localSheetId="25">#REF!</definedName>
    <definedName name="BT_WEARING_COAT" localSheetId="4">#REF!</definedName>
    <definedName name="BT_WEARING_COAT" localSheetId="2">#REF!</definedName>
    <definedName name="BT_WEARING_COAT" localSheetId="15">#REF!</definedName>
    <definedName name="BTEMULTIONSS1" localSheetId="31">#REF!</definedName>
    <definedName name="BTEMULTIONSS1" localSheetId="1">#REF!</definedName>
    <definedName name="BTEMULTIONSS1" localSheetId="30">#REF!</definedName>
    <definedName name="BTSD_23" localSheetId="16">#REF!</definedName>
    <definedName name="BTSD_23" localSheetId="25">#REF!</definedName>
    <definedName name="BTSD_23" localSheetId="4">#REF!</definedName>
    <definedName name="BTSD_23" localSheetId="2">#REF!</definedName>
    <definedName name="BTSD_23" localSheetId="15">#REF!</definedName>
    <definedName name="BTSD_DRY" localSheetId="16">#REF!</definedName>
    <definedName name="BTSD_DRY" localSheetId="25">#REF!</definedName>
    <definedName name="BTSD_DRY" localSheetId="4">#REF!</definedName>
    <definedName name="BTSD_DRY" localSheetId="2">#REF!</definedName>
    <definedName name="BTSD_DRY" localSheetId="15">#REF!</definedName>
    <definedName name="BTSD_SEAL" localSheetId="16">#REF!</definedName>
    <definedName name="BTSD_SEAL" localSheetId="25">#REF!</definedName>
    <definedName name="BTSD_SEAL" localSheetId="4">#REF!</definedName>
    <definedName name="BTSD_SEAL" localSheetId="2">#REF!</definedName>
    <definedName name="BTSD_SEAL" localSheetId="15">#REF!</definedName>
    <definedName name="cd" localSheetId="31">#REF!</definedName>
    <definedName name="cd" localSheetId="1">#REF!</definedName>
    <definedName name="cd" localSheetId="30">#REF!</definedName>
    <definedName name="CEMENT" localSheetId="14">[11]RMR!$F$29</definedName>
    <definedName name="col" localSheetId="0" hidden="1">{"pl_t&amp;d",#N/A,FALSE,"p&amp;l_t&amp;D_01_02 (2)"}</definedName>
    <definedName name="cp" localSheetId="14">'[12]Lead statement ss5'!$C$28</definedName>
    <definedName name="cp" localSheetId="18">'[13]Lead statement ss5'!$C$28</definedName>
    <definedName name="CP" localSheetId="0">'[14]Main sheet'!$C$59</definedName>
    <definedName name="crsrate" localSheetId="14">'[8]lead-st'!$L$12</definedName>
    <definedName name="crss" localSheetId="14">[8]rdamdata!$J$10</definedName>
    <definedName name="crush" localSheetId="14">[10]r!$F$30</definedName>
    <definedName name="crust" localSheetId="16">[15]Data.F8.BTR!#REF!</definedName>
    <definedName name="crust" localSheetId="14">[15]Data.F8.BTR!#REF!</definedName>
    <definedName name="crust" localSheetId="25">[15]Data.F8.BTR!#REF!</definedName>
    <definedName name="crust" localSheetId="4">[15]Data.F8.BTR!#REF!</definedName>
    <definedName name="crust" localSheetId="2">[15]Data.F8.BTR!#REF!</definedName>
    <definedName name="crust" localSheetId="15">[15]Data.F8.BTR!#REF!</definedName>
    <definedName name="d" localSheetId="16">[16]Lead!#REF!</definedName>
    <definedName name="d" localSheetId="14">[17]Lead!#REF!</definedName>
    <definedName name="d" localSheetId="25">[16]Lead!#REF!</definedName>
    <definedName name="d" localSheetId="4">[16]Lead!#REF!</definedName>
    <definedName name="d" localSheetId="2">[16]Lead!#REF!</definedName>
    <definedName name="d" localSheetId="15">[16]Lead!#REF!</definedName>
    <definedName name="D.t" localSheetId="16">[18]data!#REF!</definedName>
    <definedName name="D.t" localSheetId="14">[18]data!#REF!</definedName>
    <definedName name="D.t" localSheetId="25">[18]data!#REF!</definedName>
    <definedName name="D.t" localSheetId="4">[18]data!#REF!</definedName>
    <definedName name="D.t" localSheetId="2">[18]data!#REF!</definedName>
    <definedName name="D.t" localSheetId="15">[18]data!#REF!</definedName>
    <definedName name="data" localSheetId="16">[19]Data!#REF!</definedName>
    <definedName name="data" localSheetId="25">[19]Data!#REF!</definedName>
    <definedName name="data" localSheetId="4">[19]Data!#REF!</definedName>
    <definedName name="data" localSheetId="2">[19]Data!#REF!</definedName>
    <definedName name="data" localSheetId="15">[19]Data!#REF!</definedName>
    <definedName name="DATA6" localSheetId="31">#REF!</definedName>
    <definedName name="DATA6" localSheetId="1">#REF!</definedName>
    <definedName name="DATA6" localSheetId="30">#REF!</definedName>
    <definedName name="_xlnm.Database" localSheetId="31">#REF!</definedName>
    <definedName name="_xlnm.Database" localSheetId="1">#REF!</definedName>
    <definedName name="_xlnm.Database" localSheetId="30">#REF!</definedName>
    <definedName name="DBM" localSheetId="16">#REF!</definedName>
    <definedName name="DBM" localSheetId="25">#REF!</definedName>
    <definedName name="DBM" localSheetId="4">#REF!</definedName>
    <definedName name="DBM" localSheetId="2">#REF!</definedName>
    <definedName name="DBM" localSheetId="15">#REF!</definedName>
    <definedName name="DD" localSheetId="31">#REF!</definedName>
    <definedName name="DD" localSheetId="1">#REF!</definedName>
    <definedName name="DD" localSheetId="30">#REF!</definedName>
    <definedName name="dem" localSheetId="0" hidden="1">{"pl_t&amp;d",#N/A,FALSE,"p&amp;l_t&amp;D_01_02 (2)"}</definedName>
    <definedName name="dfdf" localSheetId="31" hidden="1">'[2]final abstract'!#REF!</definedName>
    <definedName name="dfdf" localSheetId="1" hidden="1">'[2]final abstract'!#REF!</definedName>
    <definedName name="dfdf" localSheetId="30" hidden="1">'[2]final abstract'!#REF!</definedName>
    <definedName name="dfgh" localSheetId="31" hidden="1">'[2]final abstract'!#REF!</definedName>
    <definedName name="dfgh" localSheetId="1" hidden="1">'[2]final abstract'!#REF!</definedName>
    <definedName name="dfgh" localSheetId="30" hidden="1">'[2]final abstract'!#REF!</definedName>
    <definedName name="div" localSheetId="16">#REF!</definedName>
    <definedName name="div" localSheetId="14">[5]DATA!$H$250</definedName>
    <definedName name="div" localSheetId="18">[20]Lead!#REF!</definedName>
    <definedName name="div" localSheetId="25">#REF!</definedName>
    <definedName name="div" localSheetId="4">#REF!</definedName>
    <definedName name="div" localSheetId="2">#REF!</definedName>
    <definedName name="div" localSheetId="15">#REF!</definedName>
    <definedName name="DRY_ROLLING" localSheetId="16">#REF!</definedName>
    <definedName name="DRY_ROLLING" localSheetId="25">#REF!</definedName>
    <definedName name="DRY_ROLLING" localSheetId="4">#REF!</definedName>
    <definedName name="DRY_ROLLING" localSheetId="2">#REF!</definedName>
    <definedName name="DRY_ROLLING" localSheetId="15">#REF!</definedName>
    <definedName name="dt" localSheetId="16">#REF!</definedName>
    <definedName name="dt" localSheetId="14">#REF!</definedName>
    <definedName name="dt" localSheetId="25">#REF!</definedName>
    <definedName name="dt" localSheetId="4">#REF!</definedName>
    <definedName name="dt" localSheetId="2">#REF!</definedName>
    <definedName name="dt" localSheetId="15">#REF!</definedName>
    <definedName name="E_W_CARTED_FMC" localSheetId="16">#REF!</definedName>
    <definedName name="E_W_CARTED_FMC" localSheetId="25">#REF!</definedName>
    <definedName name="E_W_CARTED_FMC" localSheetId="4">#REF!</definedName>
    <definedName name="E_W_CARTED_FMC" localSheetId="2">#REF!</definedName>
    <definedName name="E_W_CARTED_FMC" localSheetId="15">#REF!</definedName>
    <definedName name="E_W_SIDE_FMC_NO" localSheetId="16">#REF!</definedName>
    <definedName name="E_W_SIDE_FMC_NO" localSheetId="25">#REF!</definedName>
    <definedName name="E_W_SIDE_FMC_NO" localSheetId="4">#REF!</definedName>
    <definedName name="E_W_SIDE_FMC_NO" localSheetId="2">#REF!</definedName>
    <definedName name="E_W_SIDE_FMC_NO" localSheetId="15">#REF!</definedName>
    <definedName name="E_W_SIDE_FMC_PR" localSheetId="16">#REF!</definedName>
    <definedName name="E_W_SIDE_FMC_PR" localSheetId="25">#REF!</definedName>
    <definedName name="E_W_SIDE_FMC_PR" localSheetId="4">#REF!</definedName>
    <definedName name="E_W_SIDE_FMC_PR" localSheetId="2">#REF!</definedName>
    <definedName name="E_W_SIDE_FMC_PR" localSheetId="15">#REF!</definedName>
    <definedName name="E_W_SIDE_OMC" localSheetId="31">#REF!</definedName>
    <definedName name="E_W_SIDE_OMC" localSheetId="1">#REF!</definedName>
    <definedName name="E_W_SIDE_OMC" localSheetId="30">#REF!</definedName>
    <definedName name="ewe" localSheetId="31">#REF!</definedName>
    <definedName name="ewe" localSheetId="1">#REF!</definedName>
    <definedName name="ewe" localSheetId="30">#REF!</definedName>
    <definedName name="f" localSheetId="31">#REF!</definedName>
    <definedName name="f" localSheetId="1">#REF!</definedName>
    <definedName name="f" localSheetId="30">#REF!</definedName>
    <definedName name="fdghgg" localSheetId="31" hidden="1">'[2]final abstract'!#REF!</definedName>
    <definedName name="fdghgg" localSheetId="1" hidden="1">'[2]final abstract'!#REF!</definedName>
    <definedName name="fdghgg" localSheetId="30" hidden="1">'[2]final abstract'!#REF!</definedName>
    <definedName name="ffdasggfdhj" localSheetId="31" hidden="1">'[2]final abstract'!#REF!</definedName>
    <definedName name="ffdasggfdhj" localSheetId="1" hidden="1">'[2]final abstract'!#REF!</definedName>
    <definedName name="ffdasggfdhj" localSheetId="30" hidden="1">'[2]final abstract'!#REF!</definedName>
    <definedName name="fgfgh" localSheetId="31" hidden="1">'[2]final abstract'!#REF!</definedName>
    <definedName name="fgfgh" localSheetId="1" hidden="1">'[2]final abstract'!#REF!</definedName>
    <definedName name="fgfgh" localSheetId="30" hidden="1">'[2]final abstract'!#REF!</definedName>
    <definedName name="fgh" localSheetId="31" hidden="1">'[2]final abstract'!#REF!</definedName>
    <definedName name="fgh" localSheetId="1" hidden="1">'[2]final abstract'!#REF!</definedName>
    <definedName name="fgh" localSheetId="30" hidden="1">'[2]final abstract'!#REF!</definedName>
    <definedName name="fghfjh" localSheetId="31" hidden="1">'[2]final abstract'!#REF!</definedName>
    <definedName name="fghfjh" localSheetId="1" hidden="1">'[2]final abstract'!#REF!</definedName>
    <definedName name="fghfjh" localSheetId="30" hidden="1">'[2]final abstract'!#REF!</definedName>
    <definedName name="fhg" localSheetId="31" hidden="1">'[2]final abstract'!#REF!</definedName>
    <definedName name="fhg" localSheetId="1" hidden="1">'[2]final abstract'!#REF!</definedName>
    <definedName name="fhg" localSheetId="30" hidden="1">'[2]final abstract'!#REF!</definedName>
    <definedName name="finished" localSheetId="14">#REF!</definedName>
    <definedName name="g" localSheetId="14">#REF!</definedName>
    <definedName name="g_lead" localSheetId="31">#REF!</definedName>
    <definedName name="g_lead" localSheetId="1">#REF!</definedName>
    <definedName name="g_lead" localSheetId="30">#REF!</definedName>
    <definedName name="GA" localSheetId="0" hidden="1">'[2]final abstract'!#REF!</definedName>
    <definedName name="ggjh" localSheetId="31" hidden="1">'[2]final abstract'!#REF!</definedName>
    <definedName name="ggjh" localSheetId="1" hidden="1">'[2]final abstract'!#REF!</definedName>
    <definedName name="ggjh" localSheetId="30" hidden="1">'[2]final abstract'!#REF!</definedName>
    <definedName name="ghjgjh" localSheetId="31" hidden="1">'[2]final abstract'!#REF!</definedName>
    <definedName name="ghjgjh" localSheetId="1" hidden="1">'[2]final abstract'!#REF!</definedName>
    <definedName name="ghjgjh" localSheetId="30" hidden="1">'[2]final abstract'!#REF!</definedName>
    <definedName name="gjhg" localSheetId="31" hidden="1">'[2]final abstract'!#REF!</definedName>
    <definedName name="gjhg" localSheetId="1" hidden="1">'[2]final abstract'!#REF!</definedName>
    <definedName name="gjhg" localSheetId="30" hidden="1">'[2]final abstract'!#REF!</definedName>
    <definedName name="GLOADING" localSheetId="31">#REF!</definedName>
    <definedName name="GLOADING" localSheetId="1">#REF!</definedName>
    <definedName name="GLOADING" localSheetId="30">#REF!</definedName>
    <definedName name="grade1" localSheetId="31">#REF!</definedName>
    <definedName name="grade1" localSheetId="1">#REF!</definedName>
    <definedName name="grade1" localSheetId="30">#REF!</definedName>
    <definedName name="grade2" localSheetId="31">#REF!</definedName>
    <definedName name="grade2" localSheetId="1">#REF!</definedName>
    <definedName name="grade2" localSheetId="30">#REF!</definedName>
    <definedName name="grade3" localSheetId="31">#REF!</definedName>
    <definedName name="grade3" localSheetId="1">#REF!</definedName>
    <definedName name="grade3" localSheetId="30">#REF!</definedName>
    <definedName name="gravel" localSheetId="14">[5]DATA!$H$235</definedName>
    <definedName name="GULOADING" localSheetId="31">#REF!</definedName>
    <definedName name="GULOADING" localSheetId="1">#REF!</definedName>
    <definedName name="GULOADING" localSheetId="30">#REF!</definedName>
    <definedName name="hfuhg" localSheetId="31" hidden="1">'[2]final abstract'!#REF!</definedName>
    <definedName name="hfuhg" localSheetId="1" hidden="1">'[2]final abstract'!#REF!</definedName>
    <definedName name="hfuhg" localSheetId="30" hidden="1">'[2]final abstract'!#REF!</definedName>
    <definedName name="hjk" localSheetId="31" hidden="1">'[2]final abstract'!#REF!</definedName>
    <definedName name="hjk" localSheetId="1" hidden="1">'[2]final abstract'!#REF!</definedName>
    <definedName name="hjk" localSheetId="30" hidden="1">'[2]final abstract'!#REF!</definedName>
    <definedName name="hjklhkj" localSheetId="31" hidden="1">'[2]final abstract'!#REF!</definedName>
    <definedName name="hjklhkj" localSheetId="1" hidden="1">'[2]final abstract'!#REF!</definedName>
    <definedName name="hjklhkj" localSheetId="30" hidden="1">'[2]final abstract'!#REF!</definedName>
    <definedName name="hkjhk" localSheetId="31" hidden="1">'[2]final abstract'!#REF!</definedName>
    <definedName name="hkjhk" localSheetId="1" hidden="1">'[2]final abstract'!#REF!</definedName>
    <definedName name="hkjhk" localSheetId="30" hidden="1">'[2]final abstract'!#REF!</definedName>
    <definedName name="hlkj" localSheetId="31" hidden="1">'[2]final abstract'!#REF!</definedName>
    <definedName name="hlkj" localSheetId="1" hidden="1">'[2]final abstract'!#REF!</definedName>
    <definedName name="hlkj" localSheetId="30" hidden="1">'[2]final abstract'!#REF!</definedName>
    <definedName name="hlkjasa" localSheetId="31" hidden="1">'[2]final abstract'!#REF!</definedName>
    <definedName name="hlkjasa" localSheetId="1" hidden="1">'[2]final abstract'!#REF!</definedName>
    <definedName name="hlkjasa" localSheetId="30" hidden="1">'[2]final abstract'!#REF!</definedName>
    <definedName name="HTML_Control" localSheetId="32" hidden="1">{"'Sheet1'!$A$4386:$N$4591"}</definedName>
    <definedName name="HTML_Control" localSheetId="33" hidden="1">{"'Sheet1'!$A$4386:$N$4591"}</definedName>
    <definedName name="HTML_Control" localSheetId="37" hidden="1">{"'Sheet1'!$A$4386:$N$4591"}</definedName>
    <definedName name="HTML_LastUpdate" hidden="1">"7/1/03"</definedName>
    <definedName name="HTML_LineAfter" hidden="1">FALSE</definedName>
    <definedName name="HTML_LineBefore" hidden="1">FALSE</definedName>
    <definedName name="HTML_Name" hidden="1">"m.p.raval"</definedName>
    <definedName name="HTML_OBDlg2" hidden="1">TRUE</definedName>
    <definedName name="HTML_OBDlg4" hidden="1">TRUE</definedName>
    <definedName name="HTML_OS" hidden="1">0</definedName>
    <definedName name="HTML_PathFile" hidden="1">"A:\MyHTML.htm"</definedName>
    <definedName name="HTML_Title" hidden="1">"SGSDaily Progress Report Piyaj toDharoi Pipeline"</definedName>
    <definedName name="J_I" localSheetId="31" hidden="1">'[2]final abstract'!#REF!</definedName>
    <definedName name="J_I" localSheetId="1" hidden="1">'[2]final abstract'!#REF!</definedName>
    <definedName name="J_I" localSheetId="30" hidden="1">'[2]final abstract'!#REF!</definedName>
    <definedName name="jlk" localSheetId="31" hidden="1">'[2]final abstract'!#REF!</definedName>
    <definedName name="jlk" localSheetId="1" hidden="1">'[2]final abstract'!#REF!</definedName>
    <definedName name="jlk" localSheetId="30" hidden="1">'[2]final abstract'!#REF!</definedName>
    <definedName name="jnjlk" localSheetId="31" hidden="1">'[2]final abstract'!#REF!</definedName>
    <definedName name="jnjlk" localSheetId="1" hidden="1">'[2]final abstract'!#REF!</definedName>
    <definedName name="jnjlk" localSheetId="30" hidden="1">'[2]final abstract'!#REF!</definedName>
    <definedName name="JUNGLE" localSheetId="16">#REF!</definedName>
    <definedName name="JUNGLE" localSheetId="25">#REF!</definedName>
    <definedName name="JUNGLE" localSheetId="4">#REF!</definedName>
    <definedName name="JUNGLE" localSheetId="2">#REF!</definedName>
    <definedName name="JUNGLE" localSheetId="15">#REF!</definedName>
    <definedName name="k" localSheetId="31">#REF!</definedName>
    <definedName name="k" localSheetId="1">#REF!</definedName>
    <definedName name="k" localSheetId="30">#REF!</definedName>
    <definedName name="kljjl" localSheetId="0" hidden="1">{"pl_t&amp;d",#N/A,FALSE,"p&amp;l_t&amp;D_01_02 (2)"}</definedName>
    <definedName name="L_Bhisti" localSheetId="14">[21]Labour!$D$3</definedName>
    <definedName name="L_Bhisti" localSheetId="18">[22]Labour!$D$3</definedName>
    <definedName name="L_BISTI" localSheetId="31">#REF!</definedName>
    <definedName name="L_BISTI" localSheetId="1">#REF!</definedName>
    <definedName name="L_BISTI" localSheetId="30">#REF!</definedName>
    <definedName name="L_BitumenSprayer" localSheetId="18">[23]Labour!$D$4</definedName>
    <definedName name="L_Blacksmith" localSheetId="14">[21]Labour!$D$5</definedName>
    <definedName name="L_Blacksmith" localSheetId="18">[22]Labour!$D$5</definedName>
    <definedName name="L_Blaster" localSheetId="14">[24]Labour!$D$6</definedName>
    <definedName name="L_BSMIT" localSheetId="31">#REF!</definedName>
    <definedName name="L_BSMIT" localSheetId="1">#REF!</definedName>
    <definedName name="L_BSMIT" localSheetId="30">#REF!</definedName>
    <definedName name="L_ChipsSpreader" localSheetId="18">[23]Labour!$D$8</definedName>
    <definedName name="L_CPENTER" localSheetId="31">#REF!</definedName>
    <definedName name="L_CPENTER" localSheetId="1">#REF!</definedName>
    <definedName name="L_CPENTER" localSheetId="30">#REF!</definedName>
    <definedName name="L_Driller" localSheetId="14">[24]Labour!$D$11</definedName>
    <definedName name="L_ELECRICIAN" localSheetId="31">#REF!</definedName>
    <definedName name="L_ELECRICIAN" localSheetId="1">#REF!</definedName>
    <definedName name="L_ELECRICIAN" localSheetId="30">#REF!</definedName>
    <definedName name="L_Mason_1stClass" localSheetId="14">[21]Labour!$D$14</definedName>
    <definedName name="L_Mason_1stClass" localSheetId="18">[22]Labour!$D$14</definedName>
    <definedName name="L_Mason_2ndClass" localSheetId="14">[21]Labour!$D$15</definedName>
    <definedName name="L_Mason_2ndClass" localSheetId="18">[22]Labour!$D$15</definedName>
    <definedName name="L_MASON1" localSheetId="31">#REF!</definedName>
    <definedName name="L_MASON1" localSheetId="1">#REF!</definedName>
    <definedName name="L_MASON1" localSheetId="30">#REF!</definedName>
    <definedName name="L_MASON2" localSheetId="31">#REF!</definedName>
    <definedName name="L_MASON2" localSheetId="1">#REF!</definedName>
    <definedName name="L_MASON2" localSheetId="30">#REF!</definedName>
    <definedName name="L_Mate" localSheetId="14">[21]Labour!$D$16</definedName>
    <definedName name="L_Mate" localSheetId="18">[22]Labour!$D$16</definedName>
    <definedName name="L_MAZDOOES" localSheetId="31">#REF!</definedName>
    <definedName name="L_MAZDOOES" localSheetId="1">#REF!</definedName>
    <definedName name="L_MAZDOOES" localSheetId="30">#REF!</definedName>
    <definedName name="L_Mazdoor" localSheetId="14">[21]Labour!$D$17</definedName>
    <definedName name="L_Mazdoor" localSheetId="18">[22]Labour!$D$17</definedName>
    <definedName name="L_Mazdoor_Semi" localSheetId="14">[21]Labour!$D$18</definedName>
    <definedName name="L_Mazdoor_Semi" localSheetId="18">[22]Labour!$D$18</definedName>
    <definedName name="L_Mazdoor_Skilled" localSheetId="14">[21]Labour!$D$19</definedName>
    <definedName name="L_Mazdoor_Skilled" localSheetId="18">[22]Labour!$D$19</definedName>
    <definedName name="L_MAZDOORSK" localSheetId="31">#REF!</definedName>
    <definedName name="L_MAZDOORSK" localSheetId="1">#REF!</definedName>
    <definedName name="L_MAZDOORSK" localSheetId="30">#REF!</definedName>
    <definedName name="L_MAZDOORUS" localSheetId="31">#REF!</definedName>
    <definedName name="L_MAZDOORUS" localSheetId="1">#REF!</definedName>
    <definedName name="L_MAZDOORUS" localSheetId="30">#REF!</definedName>
    <definedName name="L_PLUMBER" localSheetId="31">#REF!</definedName>
    <definedName name="L_PLUMBER" localSheetId="1">#REF!</definedName>
    <definedName name="L_PLUMBER" localSheetId="30">#REF!</definedName>
    <definedName name="L_SURVEYER" localSheetId="31">#REF!</definedName>
    <definedName name="L_SURVEYER" localSheetId="1">#REF!</definedName>
    <definedName name="L_SURVEYER" localSheetId="30">#REF!</definedName>
    <definedName name="L_Surveyor" localSheetId="14">[21]Labour!$D$22</definedName>
    <definedName name="L_Surveyor" localSheetId="18">[22]Labour!$D$22</definedName>
    <definedName name="LBM" localSheetId="16">#REF!</definedName>
    <definedName name="LBM" localSheetId="25">#REF!</definedName>
    <definedName name="LBM" localSheetId="4">#REF!</definedName>
    <definedName name="LBM" localSheetId="2">#REF!</definedName>
    <definedName name="LBM" localSheetId="15">#REF!</definedName>
    <definedName name="lead" localSheetId="31">#REF!</definedName>
    <definedName name="lead" localSheetId="1">#REF!</definedName>
    <definedName name="lead" localSheetId="30">#REF!</definedName>
    <definedName name="lead_prin" localSheetId="14">#REF!</definedName>
    <definedName name="lead3" localSheetId="14">#REF!</definedName>
    <definedName name="leadprin" localSheetId="14">#REF!</definedName>
    <definedName name="leads" localSheetId="31">#REF!</definedName>
    <definedName name="leads" localSheetId="1">#REF!</definedName>
    <definedName name="leads" localSheetId="30">#REF!</definedName>
    <definedName name="leads1" localSheetId="14">[25]leads!$A$3:$F$53</definedName>
    <definedName name="leads11" localSheetId="14">[1]leads!$A$3:$E$107</definedName>
    <definedName name="LEN" localSheetId="31">#REF!</definedName>
    <definedName name="LEN" localSheetId="1">#REF!</definedName>
    <definedName name="LEN" localSheetId="30">#REF!</definedName>
    <definedName name="LSNO26">[26]Lead!$N$28</definedName>
    <definedName name="LSNO3">[26]Lead!$N$9</definedName>
    <definedName name="m" localSheetId="31">#REF!</definedName>
    <definedName name="m" localSheetId="1">#REF!</definedName>
    <definedName name="m" localSheetId="30">#REF!</definedName>
    <definedName name="M_ACPipe_100" localSheetId="14">[24]Material!$D$3</definedName>
    <definedName name="M_Aggregate_10" localSheetId="14">[21]Material!$D$17</definedName>
    <definedName name="M_Aggregate_10" localSheetId="18">[22]Material!$D$17</definedName>
    <definedName name="M_Aggregate_20" localSheetId="14">[21]Material!$D$18</definedName>
    <definedName name="M_Aggregate_20" localSheetId="18">[22]Material!$D$18</definedName>
    <definedName name="M_Aggregate_375mmMaximum_224_56mm" localSheetId="14">[21]Material!$D$4</definedName>
    <definedName name="M_Aggregate_375mmMaximum_224_56mm" localSheetId="18">[22]Material!$D$4</definedName>
    <definedName name="M_Aggregate_40" localSheetId="14">[21]Material!$D$19</definedName>
    <definedName name="M_Aggregate_40" localSheetId="18">[22]Material!$D$19</definedName>
    <definedName name="M_Aggregate_Crushable_GradeI">[27]Material!$D$20</definedName>
    <definedName name="M_Aggregate_Crushable_GradeII">[27]Material!$D$21</definedName>
    <definedName name="M_Aggregate_Crushable_GradeIII">[27]Material!$D$22</definedName>
    <definedName name="M_Aggregate_GradeI_40mmNominal_10_5mm">[27]Material!$D$10</definedName>
    <definedName name="M_Aggregate_GradeI_40mmNominal_25_10mm">[27]Material!$D$11</definedName>
    <definedName name="M_Aggregate_GradeI_40mmNominal_3725_25mm">[27]Material!$D$12</definedName>
    <definedName name="M_Aggregate_GradeI_40mmNominal_5mm">[27]Material!$D$13</definedName>
    <definedName name="M_Aggregate_GradeI_90_45mm">[27]Material!$D$23</definedName>
    <definedName name="M_Aggregate_GradeII_19mmNominal_10_5mm">[28]Material!$D$14</definedName>
    <definedName name="M_Aggregate_GradeII_19mmNominal_25_10mm">[28]Material!$D$15</definedName>
    <definedName name="M_Aggregate_GradeII_19mmNominal_5mm_below">[28]Material!$D$16</definedName>
    <definedName name="M_Aggregate_GradeII_63_45mm">[27]Material!$D$24</definedName>
    <definedName name="M_Aggregate_GradeIII_53_224mm">[27]Material!$D$25</definedName>
    <definedName name="M_AIRCOMP170" localSheetId="31">#REF!</definedName>
    <definedName name="M_AIRCOMP170" localSheetId="1">#REF!</definedName>
    <definedName name="M_AIRCOMP170" localSheetId="30">#REF!</definedName>
    <definedName name="M_AIRCOMP210" localSheetId="31">#REF!</definedName>
    <definedName name="M_AIRCOMP210" localSheetId="1">#REF!</definedName>
    <definedName name="M_AIRCOMP210" localSheetId="30">#REF!</definedName>
    <definedName name="M_Bamboo_1stClass_85_100mm_2m_long">[27]Material!$D$30</definedName>
    <definedName name="M_Bamboo_1stClass_85_100mm_3m_long">[27]Material!$D$32</definedName>
    <definedName name="M_Bamboo_1stClass_85_100mm_45_55m_long">[27]Material!$D$33</definedName>
    <definedName name="M_Bamboo_2ndClass_75mm_18_25m_long">[27]Material!$D$34</definedName>
    <definedName name="M_Bamboo_2ndClass_75mm_21_30m_long">[27]Material!$D$35</definedName>
    <definedName name="M_BarbedWire">[27]Material!$D$36</definedName>
    <definedName name="M_BindingMaterial">[27]Material!$D$37</definedName>
    <definedName name="M_BindingWire" localSheetId="14">[24]Material!$D$38</definedName>
    <definedName name="M_BindingWire" localSheetId="18">[23]Material!$D$38</definedName>
    <definedName name="M_Bitumen_S65" localSheetId="18">[23]Material!$D$42</definedName>
    <definedName name="M_Bitumen_S90" localSheetId="18">[23]Material!$D$43</definedName>
    <definedName name="M_BitumenEmulsion_SS1" localSheetId="14">[21]Material!$D$45</definedName>
    <definedName name="M_BitumenEmulsion_SS1" localSheetId="18">[22]Material!$D$45</definedName>
    <definedName name="M_BitumenSealant" localSheetId="14">[21]Material!$D$46</definedName>
    <definedName name="M_BitumenSealant" localSheetId="18">[22]Material!$D$46</definedName>
    <definedName name="M_Blasted_Rubble" localSheetId="14">[24]Material!$D$47</definedName>
    <definedName name="M_BlastingMaterial" localSheetId="14">[24]Material!$D$48</definedName>
    <definedName name="M_BondStone_400_150_150mm" localSheetId="14">[24]Material!$D$49</definedName>
    <definedName name="M_Brick_1stClass" localSheetId="14">[24]Material!$D$50</definedName>
    <definedName name="M_BROOMER" localSheetId="31">#REF!</definedName>
    <definedName name="M_BROOMER" localSheetId="1">#REF!</definedName>
    <definedName name="M_BROOMER" localSheetId="30">#REF!</definedName>
    <definedName name="M_CC_CUTTER" localSheetId="31">#REF!</definedName>
    <definedName name="M_CC_CUTTER" localSheetId="1">#REF!</definedName>
    <definedName name="M_CC_CUTTER" localSheetId="30">#REF!</definedName>
    <definedName name="M_CCMIXER" localSheetId="31">#REF!</definedName>
    <definedName name="M_CCMIXER" localSheetId="1">#REF!</definedName>
    <definedName name="M_CCMIXER" localSheetId="30">#REF!</definedName>
    <definedName name="M_Cement" localSheetId="14">[21]Material!$D$51</definedName>
    <definedName name="M_Cement" localSheetId="18">[22]Material!$D$51</definedName>
    <definedName name="M_CHIPSPREDER" localSheetId="31">#REF!</definedName>
    <definedName name="M_CHIPSPREDER" localSheetId="1">#REF!</definedName>
    <definedName name="M_CHIPSPREDER" localSheetId="30">#REF!</definedName>
    <definedName name="M_CompensationForEarthTakenFromPrivateLand" localSheetId="18">[23]Material!$D$54</definedName>
    <definedName name="M_CRANE8T" localSheetId="31">#REF!</definedName>
    <definedName name="M_CRANE8T" localSheetId="1">#REF!</definedName>
    <definedName name="M_CRANE8T" localSheetId="30">#REF!</definedName>
    <definedName name="M_CrushedStoneAggregate_265_75">[27]Material!$D$63</definedName>
    <definedName name="M_CrushedStoneChipping_132" localSheetId="14">[28]Material!$D$64</definedName>
    <definedName name="M_CrushedStoneCoarseAggregatePassing_53mm" localSheetId="18">[23]Material!$D$68</definedName>
    <definedName name="M_CuringCompound" localSheetId="14">[21]Material!$D$69</definedName>
    <definedName name="M_CuringCompound" localSheetId="18">[22]Material!$D$69</definedName>
    <definedName name="M_DebondingStrips" localSheetId="14">[21]Material!$D$70</definedName>
    <definedName name="M_DebondingStrips" localSheetId="18">[22]Material!$D$70</definedName>
    <definedName name="M_DOZERD50" localSheetId="31">#REF!</definedName>
    <definedName name="M_DOZERD50" localSheetId="1">#REF!</definedName>
    <definedName name="M_DOZERD50" localSheetId="30">#REF!</definedName>
    <definedName name="M_ElastomericBearingAssembly" localSheetId="14">[24]Material!$D$73</definedName>
    <definedName name="M_ElectricDetonator" localSheetId="14">[24]Material!$D$74</definedName>
    <definedName name="M_ELEGEN" localSheetId="31">#REF!</definedName>
    <definedName name="M_ELEGEN" localSheetId="1">#REF!</definedName>
    <definedName name="M_ELEGEN" localSheetId="30">#REF!</definedName>
    <definedName name="M_EXCAVATOR9" localSheetId="31">#REF!</definedName>
    <definedName name="M_EXCAVATOR9" localSheetId="1">#REF!</definedName>
    <definedName name="M_EXCAVATOR9" localSheetId="30">#REF!</definedName>
    <definedName name="M_FilterMedia" localSheetId="14">[24]Material!$D$79</definedName>
    <definedName name="M_FRONTLOADER" localSheetId="31">#REF!</definedName>
    <definedName name="M_FRONTLOADER" localSheetId="1">#REF!</definedName>
    <definedName name="M_FRONTLOADER" localSheetId="30">#REF!</definedName>
    <definedName name="M_GIPipe_50mm">[27]Material!$D$85</definedName>
    <definedName name="M_GIWires">[27]Material!$D$86</definedName>
    <definedName name="M_GradedStoneAggregate">[27]Material!$D$87</definedName>
    <definedName name="M_GranularMaterial" localSheetId="14">[24]Material!$D$88</definedName>
    <definedName name="M_HMP40" localSheetId="31">#REF!</definedName>
    <definedName name="M_HMP40" localSheetId="1">#REF!</definedName>
    <definedName name="M_HMP40" localSheetId="30">#REF!</definedName>
    <definedName name="M_ICRUSHER" localSheetId="31">#REF!</definedName>
    <definedName name="M_ICRUSHER" localSheetId="1">#REF!</definedName>
    <definedName name="M_ICRUSHER" localSheetId="30">#REF!</definedName>
    <definedName name="M_JointFillerBoard" localSheetId="14">[21]Material!$D$93</definedName>
    <definedName name="M_JointFillerBoard" localSheetId="18">[22]Material!$D$93</definedName>
    <definedName name="M_JuteRope_12mm" localSheetId="14">[21]Material!$D$95</definedName>
    <definedName name="M_JuteRope_12mm" localSheetId="18">[22]Material!$D$95</definedName>
    <definedName name="M_KeyAggregatesPassing_224mm" localSheetId="18">[23]Material!$D$96</definedName>
    <definedName name="m_lead" localSheetId="31">#REF!</definedName>
    <definedName name="m_lead" localSheetId="1">#REF!</definedName>
    <definedName name="m_lead" localSheetId="30">#REF!</definedName>
    <definedName name="M_Lime" localSheetId="14">[24]Material!$D$97</definedName>
    <definedName name="M_MOTORGRADER200" localSheetId="31">#REF!</definedName>
    <definedName name="M_MOTORGRADER200" localSheetId="1">#REF!</definedName>
    <definedName name="M_MOTORGRADER200" localSheetId="30">#REF!</definedName>
    <definedName name="M_MOTORGRADER50" localSheetId="31">#REF!</definedName>
    <definedName name="M_MOTORGRADER50" localSheetId="1">#REF!</definedName>
    <definedName name="M_MOTORGRADER50" localSheetId="30">#REF!</definedName>
    <definedName name="M_MSClamps" localSheetId="14">[24]Material!$D$102</definedName>
    <definedName name="M_PAVER100" localSheetId="31">#REF!</definedName>
    <definedName name="M_PAVER100" localSheetId="1">#REF!</definedName>
    <definedName name="M_PAVER100" localSheetId="30">#REF!</definedName>
    <definedName name="M_PAVER75" localSheetId="31">#REF!</definedName>
    <definedName name="M_PAVER75" localSheetId="1">#REF!</definedName>
    <definedName name="M_PAVER75" localSheetId="30">#REF!</definedName>
    <definedName name="M_PD_BT" localSheetId="31">#REF!</definedName>
    <definedName name="M_PD_BT" localSheetId="1">#REF!</definedName>
    <definedName name="M_PD_BT" localSheetId="30">#REF!</definedName>
    <definedName name="M_PD_BTEM" localSheetId="31">#REF!</definedName>
    <definedName name="M_PD_BTEM" localSheetId="1">#REF!</definedName>
    <definedName name="M_PD_BTEM" localSheetId="30">#REF!</definedName>
    <definedName name="M_Plasticizer" localSheetId="14">[21]Material!$D$109</definedName>
    <definedName name="M_Plasticizer" localSheetId="18">[22]Material!$D$109</definedName>
    <definedName name="M_PolytheneSheet_125" localSheetId="14">[21]Material!$D$110</definedName>
    <definedName name="M_PolytheneSheet_125" localSheetId="18">[22]Material!$D$110</definedName>
    <definedName name="M_PolytheneSheething" localSheetId="14">[21]Material!$D$111</definedName>
    <definedName name="M_PolytheneSheething" localSheetId="18">[22]Material!$D$111</definedName>
    <definedName name="M_RCCPipeNP3_1000mm" localSheetId="14">[21]Material!$D$114</definedName>
    <definedName name="M_RCCPipeNP3_1000mm" localSheetId="18">[22]Material!$D$114</definedName>
    <definedName name="M_RCCPipeNP3_1200mm" localSheetId="14">[21]Material!$D$113</definedName>
    <definedName name="M_RCCPipeNP3_1200mm" localSheetId="18">[22]Material!$D$113</definedName>
    <definedName name="M_RCCPipeNP3_500mm" localSheetId="14">[21]Material!$D$117</definedName>
    <definedName name="M_RCCPipeNP3_500mm" localSheetId="18">[22]Material!$D$117</definedName>
    <definedName name="M_RCCPipeNP3_750mm" localSheetId="14">[21]Material!$D$115</definedName>
    <definedName name="M_RCCPipeNP3_750mm" localSheetId="18">[22]Material!$D$115</definedName>
    <definedName name="M_RCCPipeNP4_1000mm" localSheetId="14">[21]Material!$D$119</definedName>
    <definedName name="M_RCCPipeNP4_1000mm" localSheetId="18">[22]Material!$D$119</definedName>
    <definedName name="M_RCCPipeNP4_1200mm" localSheetId="14">[21]Material!$D$118</definedName>
    <definedName name="M_RCCPipeNP4_1200mm" localSheetId="18">[22]Material!$D$118</definedName>
    <definedName name="M_RCCPipeNP4_500mm" localSheetId="14">[21]Material!$D$122</definedName>
    <definedName name="M_RCCPipeNP4_500mm" localSheetId="18">[22]Material!$D$122</definedName>
    <definedName name="M_RCCPipeNP4_750mm" localSheetId="14">[21]Material!$D$120</definedName>
    <definedName name="M_RCCPipeNP4_750mm" localSheetId="18">[22]Material!$D$120</definedName>
    <definedName name="M_ROLLER" localSheetId="31">#REF!</definedName>
    <definedName name="M_ROLLER" localSheetId="1">#REF!</definedName>
    <definedName name="M_ROLLER" localSheetId="30">#REF!</definedName>
    <definedName name="M_Sand_Coarse" localSheetId="14">[21]Material!$D$125</definedName>
    <definedName name="M_Sand_Coarse" localSheetId="18">[22]Material!$D$125</definedName>
    <definedName name="M_Sand_Fine" localSheetId="14">[21]Material!$D$126</definedName>
    <definedName name="M_Sand_Fine" localSheetId="18">[22]Material!$D$126</definedName>
    <definedName name="M_SteelReinforcement_HYSDBars" localSheetId="14">[24]Material!$D$129</definedName>
    <definedName name="M_SteelReinforcement_HYSDBars" localSheetId="18">[23]Material!$D$129</definedName>
    <definedName name="M_SteelReinforcement_MSRoundBars" localSheetId="14">[21]Material!$D$130</definedName>
    <definedName name="M_SteelReinforcement_MSRoundBars" localSheetId="18">[22]Material!$D$130</definedName>
    <definedName name="M_SteelReinforcement_TMTBars" localSheetId="14">[24]Material!$D$131</definedName>
    <definedName name="M_StoneBoulder_150mm_below" localSheetId="18">[23]Material!$D$132</definedName>
    <definedName name="M_StoneForCoarseRubbleMasonry_1stSort" localSheetId="14">[24]Material!$D$136</definedName>
    <definedName name="M_StoneForCoarseRubbleMasonry_2ndSort" localSheetId="14">[24]Material!$D$137</definedName>
    <definedName name="M_StoneForRandomRubbleMasonry" localSheetId="14">[24]Material!$D$138</definedName>
    <definedName name="M_StoneSpalls" localSheetId="18">[23]Material!$D$144</definedName>
    <definedName name="M_TANKER6K" localSheetId="31">#REF!</definedName>
    <definedName name="M_TANKER6K" localSheetId="1">#REF!</definedName>
    <definedName name="M_TANKER6K" localSheetId="30">#REF!</definedName>
    <definedName name="M_TIPPER" localSheetId="31">#REF!</definedName>
    <definedName name="M_TIPPER" localSheetId="1">#REF!</definedName>
    <definedName name="M_TIPPER" localSheetId="30">#REF!</definedName>
    <definedName name="M_TRACTORRIPPER" localSheetId="31">#REF!</definedName>
    <definedName name="M_TRACTORRIPPER" localSheetId="1">#REF!</definedName>
    <definedName name="M_TRACTORRIPPER" localSheetId="30">#REF!</definedName>
    <definedName name="M_TRACTORROTAVATOR" localSheetId="31">#REF!</definedName>
    <definedName name="M_TRACTORROTAVATOR" localSheetId="1">#REF!</definedName>
    <definedName name="M_TRACTORROTAVATOR" localSheetId="30">#REF!</definedName>
    <definedName name="M_VIBRATOR_N" localSheetId="31">#REF!</definedName>
    <definedName name="M_VIBRATOR_N" localSheetId="1">#REF!</definedName>
    <definedName name="M_VIBRATOR_N" localSheetId="30">#REF!</definedName>
    <definedName name="M_VIBRATOR_P" localSheetId="31">#REF!</definedName>
    <definedName name="M_VIBRATOR_P" localSheetId="1">#REF!</definedName>
    <definedName name="M_VIBRATOR_P" localSheetId="30">#REF!</definedName>
    <definedName name="M_VIBRATOR_S" localSheetId="31">#REF!</definedName>
    <definedName name="M_VIBRATOR_S" localSheetId="1">#REF!</definedName>
    <definedName name="M_VIBRATOR_S" localSheetId="30">#REF!</definedName>
    <definedName name="M_Water" localSheetId="14">[21]Material!$D$146</definedName>
    <definedName name="M_Water" localSheetId="18">[22]Material!$D$146</definedName>
    <definedName name="M_WellGradedGranularBaseMaterial_GradeB_265_475mm">[27]Material!$D$151</definedName>
    <definedName name="M_WellGradedGranularBaseMaterial_GradeC_236mm_below">[27]Material!$D$152</definedName>
    <definedName name="M_WellGradedGranularBaseMaterial_GradeC_95_475mm">[27]Material!$D$153</definedName>
    <definedName name="M_WellGradedMateralForSubbase_GradeI_236mm_below">[27]Material!$D$154</definedName>
    <definedName name="M_WellGradedMateralForSubbase_GradeI_53_95mm">[27]Material!$D$155</definedName>
    <definedName name="M_WellGradedMateralForSubbase_GradeI_95_236mm">[27]Material!$D$156</definedName>
    <definedName name="M_WellGradedMateralForSubbase_GradeII_236mm_below">[27]Material!$D$157</definedName>
    <definedName name="M_WellGradedMateralForSubbase_GradeII_265_95mm">[27]Material!$D$158</definedName>
    <definedName name="M_WellGradedMateralForSubbase_GradeII_95_236mm">[27]Material!$D$159</definedName>
    <definedName name="M_WellGradedMateralForSubbase_GradeIII_236mm_below">[27]Material!$D$160</definedName>
    <definedName name="M_WellGradedMateralForSubbase_GradeIII_475_236mm">[27]Material!$D$161</definedName>
    <definedName name="M_WellGradedMateralForSubbase_GradeIII_95_475mm">[27]Material!$D$162</definedName>
    <definedName name="mal">[29]DATA!$H$67</definedName>
    <definedName name="MAN" localSheetId="14">[5]DATA!$F$4</definedName>
    <definedName name="MASTICK" localSheetId="31">#REF!</definedName>
    <definedName name="MASTICK" localSheetId="1">#REF!</definedName>
    <definedName name="MASTICK" localSheetId="30">#REF!</definedName>
    <definedName name="metal" localSheetId="14">#REF!</definedName>
    <definedName name="metal1" localSheetId="14">#REF!</definedName>
    <definedName name="metal11" localSheetId="14">#REF!</definedName>
    <definedName name="metal3" localSheetId="14">#REF!</definedName>
    <definedName name="MIX_SEAL_WBM" localSheetId="16">#REF!</definedName>
    <definedName name="MIX_SEAL_WBM" localSheetId="25">#REF!</definedName>
    <definedName name="MIX_SEAL_WBM" localSheetId="4">#REF!</definedName>
    <definedName name="MIX_SEAL_WBM" localSheetId="2">#REF!</definedName>
    <definedName name="MIX_SEAL_WBM" localSheetId="15">#REF!</definedName>
    <definedName name="MLOADING" localSheetId="31">#REF!</definedName>
    <definedName name="MLOADING" localSheetId="1">#REF!</definedName>
    <definedName name="MLOADING" localSheetId="30">#REF!</definedName>
    <definedName name="mm" localSheetId="14">[10]r!$F$4</definedName>
    <definedName name="mone" localSheetId="14">[10]r!$F$2</definedName>
    <definedName name="MR_13MM" localSheetId="14">#REF!</definedName>
    <definedName name="MR_22MM" localSheetId="14">#REF!</definedName>
    <definedName name="MR_40MM" localSheetId="14">#REF!</definedName>
    <definedName name="MR_55MM" localSheetId="16">#REF!</definedName>
    <definedName name="MR_55MM" localSheetId="18">[20]Lead!#REF!</definedName>
    <definedName name="MR_55MM" localSheetId="25">#REF!</definedName>
    <definedName name="MR_55MM" localSheetId="4">#REF!</definedName>
    <definedName name="MR_55MM" localSheetId="2">#REF!</definedName>
    <definedName name="MR_55MM" localSheetId="15">#REF!</definedName>
    <definedName name="MR_63MM" localSheetId="14">#REF!</definedName>
    <definedName name="MR_7MM" localSheetId="14">#REF!</definedName>
    <definedName name="MR_BT" localSheetId="14">#REF!</definedName>
    <definedName name="MR_BTE" localSheetId="14">#REF!</definedName>
    <definedName name="MR_GRADE2" localSheetId="16">#REF!</definedName>
    <definedName name="MR_GRADE2" localSheetId="18">[20]Lead!#REF!</definedName>
    <definedName name="MR_GRADE2" localSheetId="25">#REF!</definedName>
    <definedName name="MR_GRADE2" localSheetId="4">#REF!</definedName>
    <definedName name="MR_GRADE2" localSheetId="2">#REF!</definedName>
    <definedName name="MR_GRADE2" localSheetId="15">#REF!</definedName>
    <definedName name="MR_GRADE3" localSheetId="16">#REF!</definedName>
    <definedName name="MR_GRADE3" localSheetId="18">[20]Lead!#REF!</definedName>
    <definedName name="MR_GRADE3" localSheetId="25">#REF!</definedName>
    <definedName name="MR_GRADE3" localSheetId="4">#REF!</definedName>
    <definedName name="MR_GRADE3" localSheetId="2">#REF!</definedName>
    <definedName name="MR_GRADE3" localSheetId="15">#REF!</definedName>
    <definedName name="MR_GRAVEL" localSheetId="14">#REF!</definedName>
    <definedName name="MR_METAL11MM" localSheetId="14">#REF!</definedName>
    <definedName name="MR_SAND" localSheetId="16">#REF!</definedName>
    <definedName name="MR_SAND" localSheetId="18">[20]Lead!#REF!</definedName>
    <definedName name="MR_SAND" localSheetId="25">#REF!</definedName>
    <definedName name="MR_SAND" localSheetId="4">#REF!</definedName>
    <definedName name="MR_SAND" localSheetId="2">#REF!</definedName>
    <definedName name="MR_SAND" localSheetId="15">#REF!</definedName>
    <definedName name="MR_SANDF" localSheetId="16">#REF!</definedName>
    <definedName name="MR_SANDF" localSheetId="18">[20]Lead!#REF!</definedName>
    <definedName name="MR_SANDF" localSheetId="25">#REF!</definedName>
    <definedName name="MR_SANDF" localSheetId="4">#REF!</definedName>
    <definedName name="MR_SANDF" localSheetId="2">#REF!</definedName>
    <definedName name="MR_SANDF" localSheetId="15">#REF!</definedName>
    <definedName name="MR_STONEDUST" localSheetId="14">#REF!</definedName>
    <definedName name="mtwo" localSheetId="14">[10]r!$F$3</definedName>
    <definedName name="MULOADING" localSheetId="31">#REF!</definedName>
    <definedName name="MULOADING" localSheetId="1">#REF!</definedName>
    <definedName name="MULOADING" localSheetId="30">#REF!</definedName>
    <definedName name="mymax" localSheetId="14">[30]Levels!$P$5</definedName>
    <definedName name="mymin" localSheetId="14">[30]Levels!$O$5</definedName>
    <definedName name="n" localSheetId="31">#REF!</definedName>
    <definedName name="n" localSheetId="1">#REF!</definedName>
    <definedName name="n" localSheetId="30">#REF!</definedName>
    <definedName name="NAME" localSheetId="14">[5]DATA!$D$2</definedName>
    <definedName name="newdata" localSheetId="16">#REF!</definedName>
    <definedName name="newdata" localSheetId="25">#REF!</definedName>
    <definedName name="newdata" localSheetId="4">#REF!</definedName>
    <definedName name="newdata" localSheetId="2">#REF!</definedName>
    <definedName name="newdata" localSheetId="15">#REF!</definedName>
    <definedName name="nw" localSheetId="31">#REF!</definedName>
    <definedName name="nw" localSheetId="1">#REF!</definedName>
    <definedName name="nw" localSheetId="30">#REF!</definedName>
    <definedName name="oh" localSheetId="14">'[12]Lead statement ss5'!$C$26</definedName>
    <definedName name="oh" localSheetId="18">'[13]Lead statement ss5'!$C$26</definedName>
    <definedName name="p" localSheetId="31">#REF!</definedName>
    <definedName name="p" localSheetId="1">#REF!</definedName>
    <definedName name="p" localSheetId="30">#REF!</definedName>
    <definedName name="pc" localSheetId="31">#REF!</definedName>
    <definedName name="pc" localSheetId="1">#REF!</definedName>
    <definedName name="pc" localSheetId="30">#REF!</definedName>
    <definedName name="pkgno" localSheetId="14">#REF!</definedName>
    <definedName name="PM_AirCompressor_210cfm" localSheetId="14">'[21]Plant &amp;  Machinery'!$G$4</definedName>
    <definedName name="PM_AirCompressor_210cfm" localSheetId="18">'[22]Plant &amp;  Machinery'!$G$4</definedName>
    <definedName name="PM_BatchTypeHMP_30_40" localSheetId="18">'[23]Plant &amp;  Machinery'!$G$6</definedName>
    <definedName name="PM_BitumenBoilerOilFired_1000" localSheetId="18">'[23]Plant &amp;  Machinery'!$G$9</definedName>
    <definedName name="PM_BitumenEmulsionPressureDistributor" localSheetId="14">'[28]Plant &amp;  Machinery'!$G$10</definedName>
    <definedName name="PM_ConcreteMixer" localSheetId="14">'[21]Plant &amp;  Machinery'!$G$11</definedName>
    <definedName name="PM_ConcreteMixer" localSheetId="18">'[22]Plant &amp;  Machinery'!$G$11</definedName>
    <definedName name="PM_Dozer_D50" localSheetId="14">'[21]Plant &amp;  Machinery'!$G$13</definedName>
    <definedName name="PM_Dozer_D50" localSheetId="18">'[22]Plant &amp;  Machinery'!$G$13</definedName>
    <definedName name="PM_ElectricGeneratorSet_125" localSheetId="18">'[23]Plant &amp;  Machinery'!$G$15</definedName>
    <definedName name="PM_FrontEndLoader_1cum" localSheetId="18">'[23]Plant &amp;  Machinery'!$G$17</definedName>
    <definedName name="PM_HydraulicBroom" localSheetId="14">'[28]Plant &amp;  Machinery'!$G$19</definedName>
    <definedName name="PM_HydraulicExcavator_09cum" localSheetId="18">'[23]Plant &amp;  Machinery'!$G$20</definedName>
    <definedName name="PM_HydraulicSelfPropelledChipSpreader" localSheetId="14">'[28]Plant &amp;  Machinery'!$G$21</definedName>
    <definedName name="PM_JointCuttingMachine" localSheetId="14">'[21]Plant &amp;  Machinery'!$G$23</definedName>
    <definedName name="PM_JointCuttingMachine" localSheetId="18">'[22]Plant &amp;  Machinery'!$G$23</definedName>
    <definedName name="PM_MotorGrader" localSheetId="18">'[23]Plant &amp;  Machinery'!$G$25</definedName>
    <definedName name="PM_NeedleVibrator" localSheetId="14">'[21]Plant &amp;  Machinery'!$G$27</definedName>
    <definedName name="PM_NeedleVibrator" localSheetId="18">'[22]Plant &amp;  Machinery'!$G$27</definedName>
    <definedName name="PM_PaverFinisher" localSheetId="18">'[23]Plant &amp;  Machinery'!$G$28</definedName>
    <definedName name="PM_PlateVibrator" localSheetId="14">'[21]Plant &amp;  Machinery'!$G$30</definedName>
    <definedName name="PM_PlateVibrator" localSheetId="18">'[22]Plant &amp;  Machinery'!$G$30</definedName>
    <definedName name="PM_ScreedVibrator" localSheetId="14">'[21]Plant &amp;  Machinery'!$G$31</definedName>
    <definedName name="PM_ScreedVibrator" localSheetId="18">'[22]Plant &amp;  Machinery'!$G$31</definedName>
    <definedName name="PM_ThreeWheeled_80_100kN_StaticRoller" localSheetId="18">'[23]Plant &amp;  Machinery'!$G$34</definedName>
    <definedName name="PM_Tipper_55" localSheetId="18">'[23]Plant &amp;  Machinery'!$G$45</definedName>
    <definedName name="PM_Tractor_Trolley" localSheetId="14">'[21]Plant &amp;  Machinery'!$G$48</definedName>
    <definedName name="PM_Tractor_Trolley" localSheetId="18">'[22]Plant &amp;  Machinery'!$G$48</definedName>
    <definedName name="PM_WaterTanker_6kl" localSheetId="14">'[21]Plant &amp;  Machinery'!$G$53</definedName>
    <definedName name="PM_WaterTanker_6kl" localSheetId="18">'[22]Plant &amp;  Machinery'!$G$53</definedName>
    <definedName name="_xlnm.Print_Area" localSheetId="16">' Brickwork Manhole '!$A$1:$M$150</definedName>
    <definedName name="_xlnm.Print_Area" localSheetId="23">' Conv 19_20'!$A$1:$R$303</definedName>
    <definedName name="_xlnm.Print_Area" localSheetId="14">' Estimate'!$A$1:$K$96</definedName>
    <definedName name="_xlnm.Print_Area" localSheetId="34">'Abst Sht'!$A$1:$C$15</definedName>
    <definedName name="_xlnm.Print_Area" localSheetId="25">'Cost of RCC NP2-NP3 SS pipes '!$A$1:$I$81</definedName>
    <definedName name="_xlnm.Print_Area" localSheetId="24">'Datas P7'!$A$1:$G$417</definedName>
    <definedName name="_xlnm.Print_Area" localSheetId="12">'Final Estimate'!$A$1:$K$100</definedName>
    <definedName name="_xlnm.Print_Area" localSheetId="0">'Inspection chambers'!$A$1:$N$34</definedName>
    <definedName name="_xlnm.Print_Area" localSheetId="4">'Laying Jointing of RCC SS pipe '!$A$1:$G$125</definedName>
    <definedName name="_xlnm.Print_Area" localSheetId="17">Lead!$A$1:$S$27</definedName>
    <definedName name="_xlnm.Print_Area" localSheetId="35">'Lead 20-21'!$A$1:$N$47</definedName>
    <definedName name="_xlnm.Print_Area" localSheetId="36">'Lead 20-21 P7'!$A$1:$N$47</definedName>
    <definedName name="_xlnm.Print_Area" localSheetId="28">'Lead Chart 24-25'!$A$1:$N$61</definedName>
    <definedName name="_xlnm.Print_Area" localSheetId="8">'Longitudinal Section'!$A$1:$AV$40</definedName>
    <definedName name="_xlnm.Print_Area" localSheetId="2">'Man Hole data 0.75m-0.90m1.20m'!$A$1:$G$754</definedName>
    <definedName name="_xlnm.Print_Area" localSheetId="15">'Man hole with 2nd Class  Bricks'!$A$1:$Q$483</definedName>
    <definedName name="_xlnm.Print_Area" localSheetId="31">'NP 3 1000 mm dia (4)'!$A$1:$L$42</definedName>
    <definedName name="_xlnm.Print_Area" localSheetId="32">'NP 3 300'!$B$44:$H$62</definedName>
    <definedName name="_xlnm.Print_Area" localSheetId="33">'NP 3 450 mm dia'!$B$44:$H$62</definedName>
    <definedName name="_xlnm.Print_Area" localSheetId="1">'NP 3 450 mm dia (2)'!$A$1:$M$65</definedName>
    <definedName name="_xlnm.Print_Area" localSheetId="37">'NP 3 600'!$B$44:$M$62</definedName>
    <definedName name="_xlnm.Print_Area" localSheetId="30">'NP 3 800 mm dia (3)'!$A$1:$L$43</definedName>
    <definedName name="_xlnm.Print_Area" localSheetId="26">pipes!$B$4:$N$14</definedName>
    <definedName name="_xlnm.Print_Area" localSheetId="11">'Schedule A'!$A$1:$H$36</definedName>
    <definedName name="_xlnm.Print_Area" localSheetId="13">'Seignorage Calculation'!$A$1:$K$54</definedName>
    <definedName name="_xlnm.Print_Area" localSheetId="29">Sheet4!$A$1:$F$27</definedName>
    <definedName name="_xlnm.Print_Area" localSheetId="19">SPC!$A$1:$G$22</definedName>
    <definedName name="_xlnm.Print_Area" localSheetId="7">'Spec Report'!$A$1:$F$31</definedName>
    <definedName name="_xlnm.Print_Area" localSheetId="27">'stoneware pipes'!$A$1:$G$105</definedName>
    <definedName name="_xlnm.Print_Titles" localSheetId="16">' Brickwork Manhole '!$4:$4</definedName>
    <definedName name="_xlnm.Print_Titles" localSheetId="14">' Estimate'!#REF!</definedName>
    <definedName name="_xlnm.Print_Titles" localSheetId="25">'Cost of RCC NP2-NP3 SS pipes '!$4:$4</definedName>
    <definedName name="_xlnm.Print_Titles" localSheetId="24">'Datas P7'!$4:$4</definedName>
    <definedName name="_xlnm.Print_Titles" localSheetId="0">'Inspection chambers'!$8:$8</definedName>
    <definedName name="_xlnm.Print_Titles" localSheetId="4">'Laying Jointing of RCC SS pipe '!$4:$4</definedName>
    <definedName name="_xlnm.Print_Titles" localSheetId="2">'Man Hole data 0.75m-0.90m1.20m'!$4:$4</definedName>
    <definedName name="QQQ" localSheetId="0" hidden="1">{"pl_t&amp;d",#N/A,FALSE,"p&amp;l_t&amp;D_01_02 (2)"}</definedName>
    <definedName name="qwew" localSheetId="31" hidden="1">'[2]final abstract'!#REF!</definedName>
    <definedName name="qwew" localSheetId="1" hidden="1">'[2]final abstract'!#REF!</definedName>
    <definedName name="qwew" localSheetId="30" hidden="1">'[2]final abstract'!#REF!</definedName>
    <definedName name="rate12" localSheetId="14">'[8]lead-st'!$L$9</definedName>
    <definedName name="rate20" localSheetId="14">'[8]lead-st'!$L$8</definedName>
    <definedName name="rate40" localSheetId="14">'[8]lead-st'!$L$7</definedName>
    <definedName name="ratecrs" localSheetId="14">'[8]lead-st'!$L$12</definedName>
    <definedName name="raterough" localSheetId="14">'[8]lead-st'!$L$13</definedName>
    <definedName name="raterr" localSheetId="14">'[8]lead-st'!$L$11</definedName>
    <definedName name="rates" localSheetId="14">#REF!</definedName>
    <definedName name="rates1" localSheetId="14">#REF!</definedName>
    <definedName name="rates11" localSheetId="14">#REF!</definedName>
    <definedName name="rates4" localSheetId="14">#REF!</definedName>
    <definedName name="ratesand" localSheetId="14">'[8]lead-st'!$L$10</definedName>
    <definedName name="REVETMENT" localSheetId="16">'[31]Road Detail Est.'!#REF!</definedName>
    <definedName name="REVETMENT" localSheetId="25">'[31]Road Detail Est.'!#REF!</definedName>
    <definedName name="REVETMENT" localSheetId="4">'[31]Road Detail Est.'!#REF!</definedName>
    <definedName name="REVETMENT" localSheetId="2">'[31]Road Detail Est.'!#REF!</definedName>
    <definedName name="REVETMENT" localSheetId="15">'[31]Road Detail Est.'!#REF!</definedName>
    <definedName name="road" localSheetId="16">[32]Lead!#REF!</definedName>
    <definedName name="road" localSheetId="14">[32]Lead!#REF!</definedName>
    <definedName name="road" localSheetId="25">[32]Lead!#REF!</definedName>
    <definedName name="road" localSheetId="4">[32]Lead!#REF!</definedName>
    <definedName name="road" localSheetId="2">[32]Lead!#REF!</definedName>
    <definedName name="road" localSheetId="15">[32]Lead!#REF!</definedName>
    <definedName name="rrg" localSheetId="14">[33]r!$F$7</definedName>
    <definedName name="rrrate" localSheetId="14">'[8]lead-st'!$L$11</definedName>
    <definedName name="rrs" localSheetId="14">[8]rdamdata!$J$9</definedName>
    <definedName name="rstone" localSheetId="14">[8]rdamdata!$J$11</definedName>
    <definedName name="s" localSheetId="14">#REF!</definedName>
    <definedName name="S_10" localSheetId="14">[11]RMR!$L$23</definedName>
    <definedName name="S_20" localSheetId="14">[11]RMR!$L$21</definedName>
    <definedName name="sadfas" localSheetId="31">#REF!</definedName>
    <definedName name="sadfas" localSheetId="1">#REF!</definedName>
    <definedName name="sadfas" localSheetId="30">#REF!</definedName>
    <definedName name="sales2" localSheetId="0" hidden="1">{"pl_t&amp;d",#N/A,FALSE,"p&amp;l_t&amp;D_01_02 (2)"}</definedName>
    <definedName name="sand" localSheetId="14">[8]rdamdata!$J$12</definedName>
    <definedName name="SAND_M" localSheetId="14">[11]RMR!$L$25</definedName>
    <definedName name="SANDFILLING" localSheetId="31">#REF!</definedName>
    <definedName name="SANDFILLING" localSheetId="1">#REF!</definedName>
    <definedName name="SANDFILLING" localSheetId="30">#REF!</definedName>
    <definedName name="SD" localSheetId="14">[5]DATA!$G$25</definedName>
    <definedName name="searth" localSheetId="31">#REF!</definedName>
    <definedName name="searth" localSheetId="1">#REF!</definedName>
    <definedName name="searth" localSheetId="30">#REF!</definedName>
    <definedName name="sein" localSheetId="14">#REF!</definedName>
    <definedName name="sein1" localSheetId="14">#REF!</definedName>
    <definedName name="sein4" localSheetId="14">#REF!</definedName>
    <definedName name="SHOULDERS" localSheetId="16">#REF!</definedName>
    <definedName name="SHOULDERS" localSheetId="25">#REF!</definedName>
    <definedName name="SHOULDERS" localSheetId="4">#REF!</definedName>
    <definedName name="SHOULDERS" localSheetId="2">#REF!</definedName>
    <definedName name="SHOULDERS" localSheetId="15">#REF!</definedName>
    <definedName name="Shyam" localSheetId="14">[34]Data_Renuals!#REF!</definedName>
    <definedName name="smetal" localSheetId="31">#REF!</definedName>
    <definedName name="smetal" localSheetId="1">#REF!</definedName>
    <definedName name="smetal" localSheetId="30">#REF!</definedName>
    <definedName name="SPREADING_40MM" localSheetId="16">#REF!</definedName>
    <definedName name="SPREADING_40MM" localSheetId="25">#REF!</definedName>
    <definedName name="SPREADING_40MM" localSheetId="4">#REF!</definedName>
    <definedName name="SPREADING_40MM" localSheetId="2">#REF!</definedName>
    <definedName name="SPREADING_40MM" localSheetId="15">#REF!</definedName>
    <definedName name="SPREADING_65MM" localSheetId="16">'[31]Road data'!#REF!</definedName>
    <definedName name="SPREADING_65MM" localSheetId="25">'[31]Road data'!#REF!</definedName>
    <definedName name="SPREADING_65MM" localSheetId="4">'[31]Road data'!#REF!</definedName>
    <definedName name="SPREADING_65MM" localSheetId="2">'[31]Road data'!#REF!</definedName>
    <definedName name="SPREADING_65MM" localSheetId="15">'[31]Road data'!#REF!</definedName>
    <definedName name="sprev" localSheetId="0" hidden="1">{"pl_t&amp;d",#N/A,FALSE,"p&amp;l_t&amp;D_01_02 (2)"}</definedName>
    <definedName name="ssand" localSheetId="31">#REF!</definedName>
    <definedName name="ssand" localSheetId="1">#REF!</definedName>
    <definedName name="ssand" localSheetId="30">#REF!</definedName>
    <definedName name="sss" localSheetId="0" hidden="1">{"pl_t&amp;d",#N/A,FALSE,"p&amp;l_t&amp;D_01_02 (2)"}</definedName>
    <definedName name="ssss" localSheetId="0" hidden="1">{"pl_t&amp;d",#N/A,FALSE,"p&amp;l_t&amp;D_01_02 (2)"}</definedName>
    <definedName name="stack" localSheetId="14">#REF!</definedName>
    <definedName name="stack1" localSheetId="14">#REF!</definedName>
    <definedName name="stack4" localSheetId="14">#REF!</definedName>
    <definedName name="staf" localSheetId="16">[35]v!#REF!</definedName>
    <definedName name="staf" localSheetId="14">[36]v!#REF!</definedName>
    <definedName name="staf" localSheetId="25">[35]v!#REF!</definedName>
    <definedName name="staf" localSheetId="4">[35]v!#REF!</definedName>
    <definedName name="staf" localSheetId="2">[35]v!#REF!</definedName>
    <definedName name="staf" localSheetId="15">[35]v!#REF!</definedName>
    <definedName name="STEEL" localSheetId="31">#REF!</definedName>
    <definedName name="STEEL" localSheetId="1">#REF!</definedName>
    <definedName name="STEEL" localSheetId="30">#REF!</definedName>
    <definedName name="STONE" localSheetId="31">#REF!</definedName>
    <definedName name="STONE" localSheetId="1">#REF!</definedName>
    <definedName name="STONE" localSheetId="30">#REF!</definedName>
    <definedName name="STONEDUST" localSheetId="31">#REF!</definedName>
    <definedName name="STONEDUST" localSheetId="1">#REF!</definedName>
    <definedName name="STONEDUST" localSheetId="30">#REF!</definedName>
    <definedName name="temp" localSheetId="14">[6]r!$F$2</definedName>
    <definedName name="TRACTOR" localSheetId="31">#REF!</definedName>
    <definedName name="TRACTOR" localSheetId="1">#REF!</definedName>
    <definedName name="TRACTOR" localSheetId="30">#REF!</definedName>
    <definedName name="TREE" localSheetId="16">#REF!</definedName>
    <definedName name="TREE" localSheetId="25">#REF!</definedName>
    <definedName name="TREE" localSheetId="4">#REF!</definedName>
    <definedName name="TREE" localSheetId="2">#REF!</definedName>
    <definedName name="TREE" localSheetId="15">#REF!</definedName>
    <definedName name="var" localSheetId="14">#REF!</definedName>
    <definedName name="vat" localSheetId="16">#REF!</definedName>
    <definedName name="vat" localSheetId="14">#REF!</definedName>
    <definedName name="vat" localSheetId="18">[20]Lead!#REF!</definedName>
    <definedName name="vat" localSheetId="25">#REF!</definedName>
    <definedName name="VAT" localSheetId="0">'[14]Main sheet'!$C$60</definedName>
    <definedName name="vat" localSheetId="4">#REF!</definedName>
    <definedName name="vat" localSheetId="2">#REF!</definedName>
    <definedName name="vat" localSheetId="15">#REF!</definedName>
    <definedName name="vatname" localSheetId="16">#REF!</definedName>
    <definedName name="vatname" localSheetId="18">[20]Lead!#REF!</definedName>
    <definedName name="vatname" localSheetId="25">#REF!</definedName>
    <definedName name="vatname" localSheetId="4">#REF!</definedName>
    <definedName name="vatname" localSheetId="2">#REF!</definedName>
    <definedName name="vatname" localSheetId="15">#REF!</definedName>
    <definedName name="vrcc" localSheetId="31">#REF!</definedName>
    <definedName name="vrcc" localSheetId="1">#REF!</definedName>
    <definedName name="vrcc" localSheetId="30">#REF!</definedName>
    <definedName name="vt" localSheetId="31">#REF!</definedName>
    <definedName name="vt" localSheetId="1">#REF!</definedName>
    <definedName name="vt" localSheetId="30">#REF!</definedName>
    <definedName name="water" localSheetId="31">#REF!</definedName>
    <definedName name="water" localSheetId="1">#REF!</definedName>
    <definedName name="water" localSheetId="30">#REF!</definedName>
    <definedName name="wc" localSheetId="14">[10]r!$F$48</definedName>
    <definedName name="wrn.pl." localSheetId="0" hidden="1">{"pl_t&amp;d",#N/A,FALSE,"p&amp;l_t&amp;D_01_02 (2)"}</definedName>
    <definedName name="wrn.pl_td." localSheetId="0" hidden="1">{"pl_td_01_02",#N/A,FALSE,"p&amp;l_t&amp;D_01_02 (2)"}</definedName>
    <definedName name="x" localSheetId="0" hidden="1">{"pl_t&amp;d",#N/A,FALSE,"p&amp;l_t&amp;D_01_02 (2)"}</definedName>
    <definedName name="xx" localSheetId="0" hidden="1">{"pl_t&amp;d",#N/A,FALSE,"p&amp;l_t&amp;D_01_02 (2)"}</definedName>
    <definedName name="xxx" localSheetId="0" hidden="1">{"pl_t&amp;d",#N/A,FALSE,"p&amp;l_t&amp;D_01_02 (2)"}</definedName>
    <definedName name="xxxx" localSheetId="0" hidden="1">{"pl_t&amp;d",#N/A,FALSE,"p&amp;l_t&amp;D_01_02 (2)"}</definedName>
  </definedNames>
  <calcPr calcId="124519"/>
  <fileRecoveryPr autoRecover="0"/>
</workbook>
</file>

<file path=xl/calcChain.xml><?xml version="1.0" encoding="utf-8"?>
<calcChain xmlns="http://schemas.openxmlformats.org/spreadsheetml/2006/main">
  <c r="F233" i="19"/>
  <c r="F252" l="1"/>
  <c r="N50" i="56" l="1"/>
  <c r="N49"/>
  <c r="N48"/>
  <c r="N47"/>
  <c r="K46"/>
  <c r="G46"/>
  <c r="N46" s="1"/>
  <c r="G45"/>
  <c r="N45" s="1"/>
  <c r="P44"/>
  <c r="Q44" s="1"/>
  <c r="G44" s="1"/>
  <c r="N44" s="1"/>
  <c r="O44"/>
  <c r="N43"/>
  <c r="N42"/>
  <c r="F41"/>
  <c r="F40"/>
  <c r="G31"/>
  <c r="N31" s="1"/>
  <c r="N21"/>
  <c r="G21"/>
  <c r="E21"/>
  <c r="E22" s="1"/>
  <c r="E20"/>
  <c r="G20" s="1"/>
  <c r="N20" s="1"/>
  <c r="N19"/>
  <c r="G19"/>
  <c r="N15"/>
  <c r="G15"/>
  <c r="O14"/>
  <c r="I14"/>
  <c r="N14" s="1"/>
  <c r="G14"/>
  <c r="Q13"/>
  <c r="P13"/>
  <c r="O13"/>
  <c r="G13"/>
  <c r="N13" s="1"/>
  <c r="N17" s="1"/>
  <c r="G12"/>
  <c r="N12" s="1"/>
  <c r="N16" s="1"/>
  <c r="N11"/>
  <c r="N18" s="1"/>
  <c r="G11"/>
  <c r="F4" i="67"/>
  <c r="C4"/>
  <c r="E25"/>
  <c r="E24"/>
  <c r="E21"/>
  <c r="E22" s="1"/>
  <c r="E23" s="1"/>
  <c r="E18"/>
  <c r="E17"/>
  <c r="E15"/>
  <c r="E13"/>
  <c r="E12"/>
  <c r="E11"/>
  <c r="F12"/>
  <c r="F13"/>
  <c r="F14"/>
  <c r="F15"/>
  <c r="F17"/>
  <c r="F18"/>
  <c r="F20"/>
  <c r="F21"/>
  <c r="F22"/>
  <c r="F23"/>
  <c r="F24"/>
  <c r="F25"/>
  <c r="F26"/>
  <c r="F27"/>
  <c r="F11"/>
  <c r="B26"/>
  <c r="H26" s="1"/>
  <c r="B25"/>
  <c r="H25" s="1"/>
  <c r="B24"/>
  <c r="H24" s="1"/>
  <c r="B23"/>
  <c r="H23" s="1"/>
  <c r="D21"/>
  <c r="D22"/>
  <c r="D20"/>
  <c r="B22"/>
  <c r="H22" s="1"/>
  <c r="B21"/>
  <c r="H21" s="1"/>
  <c r="B20"/>
  <c r="H20" s="1"/>
  <c r="B18"/>
  <c r="H18" s="1"/>
  <c r="B17"/>
  <c r="H17" s="1"/>
  <c r="D18"/>
  <c r="D17"/>
  <c r="B15"/>
  <c r="H15" s="1"/>
  <c r="B14"/>
  <c r="H14" s="1"/>
  <c r="B13"/>
  <c r="H13" s="1"/>
  <c r="B12"/>
  <c r="H12" s="1"/>
  <c r="B11"/>
  <c r="H11" s="1"/>
  <c r="N32"/>
  <c r="N31"/>
  <c r="I30"/>
  <c r="J29"/>
  <c r="N28"/>
  <c r="J28"/>
  <c r="H4"/>
  <c r="G22" i="56" l="1"/>
  <c r="N22" s="1"/>
  <c r="E23"/>
  <c r="N12" i="67"/>
  <c r="N23"/>
  <c r="N26"/>
  <c r="N15"/>
  <c r="N14"/>
  <c r="N19"/>
  <c r="N25"/>
  <c r="N16"/>
  <c r="N24"/>
  <c r="N13"/>
  <c r="I28"/>
  <c r="G23" i="56" l="1"/>
  <c r="N23" s="1"/>
  <c r="E24"/>
  <c r="N11" i="67"/>
  <c r="M11" s="1"/>
  <c r="K28"/>
  <c r="E25" i="56" l="1"/>
  <c r="G24"/>
  <c r="N24" s="1"/>
  <c r="P25" s="1"/>
  <c r="P26" s="1"/>
  <c r="L11" i="67"/>
  <c r="M12"/>
  <c r="I29"/>
  <c r="K29" s="1"/>
  <c r="G25" i="56" l="1"/>
  <c r="N25" s="1"/>
  <c r="E26"/>
  <c r="L12" i="67"/>
  <c r="M13"/>
  <c r="E27" i="56" l="1"/>
  <c r="G26"/>
  <c r="N26" s="1"/>
  <c r="M14" i="67"/>
  <c r="L13"/>
  <c r="G27" i="56" l="1"/>
  <c r="N27" s="1"/>
  <c r="E28"/>
  <c r="M15" i="67"/>
  <c r="L14"/>
  <c r="E29" i="56" l="1"/>
  <c r="G28"/>
  <c r="N28" s="1"/>
  <c r="M16" i="67"/>
  <c r="L15"/>
  <c r="G29" i="56" l="1"/>
  <c r="N29" s="1"/>
  <c r="E30"/>
  <c r="M19" i="67"/>
  <c r="L16"/>
  <c r="G30" i="56" l="1"/>
  <c r="N30" s="1"/>
  <c r="E32"/>
  <c r="M23" i="67"/>
  <c r="L19"/>
  <c r="G32" i="56" l="1"/>
  <c r="N32" s="1"/>
  <c r="E33"/>
  <c r="M24" i="67"/>
  <c r="L23"/>
  <c r="G33" i="56" l="1"/>
  <c r="N33" s="1"/>
  <c r="E34"/>
  <c r="M25" i="67"/>
  <c r="L24"/>
  <c r="E35" i="56" l="1"/>
  <c r="G34"/>
  <c r="N34" s="1"/>
  <c r="P34" s="1"/>
  <c r="M26" i="67"/>
  <c r="L25"/>
  <c r="G35" i="56" l="1"/>
  <c r="N35" s="1"/>
  <c r="E36"/>
  <c r="L26" i="67"/>
  <c r="E37" i="56" l="1"/>
  <c r="G36"/>
  <c r="N36" s="1"/>
  <c r="G37" l="1"/>
  <c r="N37" s="1"/>
  <c r="E38"/>
  <c r="M28" i="67"/>
  <c r="G38" i="56" l="1"/>
  <c r="N38" s="1"/>
  <c r="E39"/>
  <c r="L28" i="67"/>
  <c r="E40" i="56" l="1"/>
  <c r="G39"/>
  <c r="N39" s="1"/>
  <c r="G40" l="1"/>
  <c r="N40" s="1"/>
  <c r="E41"/>
  <c r="G41" s="1"/>
  <c r="N41" s="1"/>
  <c r="B74" i="59"/>
  <c r="E406" i="19"/>
  <c r="C405"/>
  <c r="G399"/>
  <c r="F398"/>
  <c r="G398" s="1"/>
  <c r="G397"/>
  <c r="G396"/>
  <c r="G395"/>
  <c r="G394"/>
  <c r="G393"/>
  <c r="G392"/>
  <c r="G391"/>
  <c r="H390"/>
  <c r="F389"/>
  <c r="G389" s="1"/>
  <c r="H388"/>
  <c r="E387"/>
  <c r="F386"/>
  <c r="G386" s="1"/>
  <c r="E386"/>
  <c r="J381"/>
  <c r="J382" s="1"/>
  <c r="L382" s="1"/>
  <c r="G380"/>
  <c r="F379"/>
  <c r="G379" s="1"/>
  <c r="G378"/>
  <c r="F378"/>
  <c r="F377"/>
  <c r="G377" s="1"/>
  <c r="G376"/>
  <c r="F375"/>
  <c r="G375" s="1"/>
  <c r="G374"/>
  <c r="F374"/>
  <c r="E371"/>
  <c r="G370"/>
  <c r="G368"/>
  <c r="D58" i="56"/>
  <c r="M21" i="66"/>
  <c r="L22"/>
  <c r="J383" i="19" l="1"/>
  <c r="K383" s="1"/>
  <c r="G381"/>
  <c r="I6" i="64"/>
  <c r="L3" i="65" s="1"/>
  <c r="C4" i="63"/>
  <c r="G8" i="62"/>
  <c r="E7"/>
  <c r="C16" i="66" s="1"/>
  <c r="A2" i="24" l="1"/>
  <c r="A2" i="23"/>
  <c r="A2" i="60"/>
  <c r="I7" l="1"/>
  <c r="C229" i="23" l="1"/>
  <c r="C305"/>
  <c r="C303"/>
  <c r="C234"/>
  <c r="C233"/>
  <c r="C232"/>
  <c r="C230"/>
  <c r="E230"/>
  <c r="E231"/>
  <c r="E232"/>
  <c r="E233"/>
  <c r="E234"/>
  <c r="E229"/>
  <c r="C231"/>
  <c r="C76" l="1"/>
  <c r="C75"/>
  <c r="C74"/>
  <c r="C72"/>
  <c r="C73"/>
  <c r="C71"/>
  <c r="C58"/>
  <c r="I58"/>
  <c r="E58"/>
  <c r="M76"/>
  <c r="C57"/>
  <c r="E34" i="60"/>
  <c r="I30"/>
  <c r="E15"/>
  <c r="E16"/>
  <c r="E17"/>
  <c r="E18"/>
  <c r="E14"/>
  <c r="I11"/>
  <c r="E11"/>
  <c r="I10"/>
  <c r="E10"/>
  <c r="I9"/>
  <c r="I8"/>
  <c r="E8"/>
  <c r="E7"/>
  <c r="E9"/>
  <c r="I46"/>
  <c r="E46"/>
  <c r="E64" i="59"/>
  <c r="E55"/>
  <c r="H28" i="60" l="1"/>
  <c r="D26"/>
  <c r="H26" s="1"/>
  <c r="I14"/>
  <c r="I21" s="1"/>
  <c r="I32" i="59"/>
  <c r="R30" l="1"/>
  <c r="B35"/>
  <c r="F36" i="19"/>
  <c r="G33"/>
  <c r="G32"/>
  <c r="G30"/>
  <c r="G29"/>
  <c r="G28"/>
  <c r="G27"/>
  <c r="G35" s="1"/>
  <c r="G37" l="1"/>
  <c r="G38" s="1"/>
  <c r="J39" i="59" s="1"/>
  <c r="E36" i="19"/>
  <c r="G36" s="1"/>
  <c r="R26" i="59" l="1"/>
  <c r="R25"/>
  <c r="A2" i="56" l="1"/>
  <c r="F104" i="57"/>
  <c r="F417" i="19"/>
  <c r="F105" i="57" s="1"/>
  <c r="F416" i="19"/>
  <c r="D31" i="60"/>
  <c r="H31" s="1"/>
  <c r="B40"/>
  <c r="H41"/>
  <c r="B5"/>
  <c r="B32"/>
  <c r="B65" i="59"/>
  <c r="J65"/>
  <c r="B60"/>
  <c r="B15" i="61" s="1"/>
  <c r="D25" i="67" s="1"/>
  <c r="B53" i="59"/>
  <c r="B56"/>
  <c r="B14" i="61" s="1"/>
  <c r="D24" i="67" s="1"/>
  <c r="K58" i="59"/>
  <c r="I58"/>
  <c r="K57"/>
  <c r="I57"/>
  <c r="I16" i="60"/>
  <c r="S8"/>
  <c r="R9"/>
  <c r="R8"/>
  <c r="G314" i="19"/>
  <c r="F315" s="1"/>
  <c r="J483" i="23"/>
  <c r="J482"/>
  <c r="G53" i="60"/>
  <c r="G52"/>
  <c r="J92" i="59"/>
  <c r="J91"/>
  <c r="B11" i="61"/>
  <c r="D16" i="67" s="1"/>
  <c r="H81" i="24"/>
  <c r="H80"/>
  <c r="B24" i="61"/>
  <c r="B19"/>
  <c r="B20"/>
  <c r="B21"/>
  <c r="B22"/>
  <c r="B23"/>
  <c r="B18"/>
  <c r="B16"/>
  <c r="D26" i="67" s="1"/>
  <c r="B12" i="61"/>
  <c r="D19" i="67" s="1"/>
  <c r="B9" i="61"/>
  <c r="D14" i="67" s="1"/>
  <c r="B8" i="61"/>
  <c r="D13" i="67" s="1"/>
  <c r="B7" i="61"/>
  <c r="D12" i="67" s="1"/>
  <c r="B6" i="61"/>
  <c r="D11" i="67" s="1"/>
  <c r="D31" i="61"/>
  <c r="F81" i="24" s="1"/>
  <c r="B31" i="61"/>
  <c r="C81" i="24" s="1"/>
  <c r="D30" i="61"/>
  <c r="F80" i="24" s="1"/>
  <c r="B30" i="61"/>
  <c r="C80" i="24" s="1"/>
  <c r="A11" i="61"/>
  <c r="D19" i="60"/>
  <c r="L294" i="19"/>
  <c r="L293"/>
  <c r="I61" i="56" l="1"/>
  <c r="I60"/>
  <c r="I36" i="60"/>
  <c r="I23"/>
  <c r="E36"/>
  <c r="E23"/>
  <c r="E35"/>
  <c r="E28" s="1"/>
  <c r="E22"/>
  <c r="D417" i="19"/>
  <c r="D105" i="57" s="1"/>
  <c r="D416" i="19"/>
  <c r="D104" i="57" s="1"/>
  <c r="B417" i="19"/>
  <c r="A105" i="57" s="1"/>
  <c r="B416" i="19"/>
  <c r="A104" i="57" s="1"/>
  <c r="C483" i="23"/>
  <c r="C482"/>
  <c r="E483"/>
  <c r="E482"/>
  <c r="I15" i="60"/>
  <c r="C61" i="56" l="1"/>
  <c r="C60"/>
  <c r="F61"/>
  <c r="F60"/>
  <c r="I35" i="60"/>
  <c r="I28" s="1"/>
  <c r="I22"/>
  <c r="E41"/>
  <c r="E305" i="23"/>
  <c r="E304"/>
  <c r="E303"/>
  <c r="E107"/>
  <c r="D30" i="60" s="1"/>
  <c r="E106" i="23"/>
  <c r="D29" i="60" s="1"/>
  <c r="E105" i="23"/>
  <c r="D28" i="60" s="1"/>
  <c r="C436" i="23"/>
  <c r="C253"/>
  <c r="C252"/>
  <c r="C251"/>
  <c r="C250"/>
  <c r="C249"/>
  <c r="C248"/>
  <c r="C213"/>
  <c r="C212"/>
  <c r="C211"/>
  <c r="C210"/>
  <c r="C209"/>
  <c r="C208"/>
  <c r="C194"/>
  <c r="C193"/>
  <c r="C192"/>
  <c r="C191"/>
  <c r="C190"/>
  <c r="C189"/>
  <c r="W55"/>
  <c r="W54"/>
  <c r="W53"/>
  <c r="I55"/>
  <c r="E55" s="1"/>
  <c r="D12" i="60"/>
  <c r="J36"/>
  <c r="H19"/>
  <c r="D53"/>
  <c r="B53"/>
  <c r="D52"/>
  <c r="B52"/>
  <c r="B27"/>
  <c r="F345" i="19"/>
  <c r="F343"/>
  <c r="F341"/>
  <c r="G350"/>
  <c r="G349"/>
  <c r="G346"/>
  <c r="E344"/>
  <c r="E343"/>
  <c r="G336"/>
  <c r="G335"/>
  <c r="G334"/>
  <c r="G333"/>
  <c r="G343" l="1"/>
  <c r="G338"/>
  <c r="G345"/>
  <c r="F388"/>
  <c r="G388" s="1"/>
  <c r="G341"/>
  <c r="F384"/>
  <c r="G384" s="1"/>
  <c r="J35" i="60"/>
  <c r="I41"/>
  <c r="J41" s="1"/>
  <c r="J28"/>
  <c r="B43"/>
  <c r="D43"/>
  <c r="C304" i="23"/>
  <c r="B42" i="60" s="1"/>
  <c r="D42"/>
  <c r="B41"/>
  <c r="D41"/>
  <c r="F41" s="1"/>
  <c r="I18"/>
  <c r="I25" s="1"/>
  <c r="I17"/>
  <c r="I24" s="1"/>
  <c r="D9"/>
  <c r="H9" s="1"/>
  <c r="J9" s="1"/>
  <c r="C55" i="23"/>
  <c r="B9" i="60" s="1"/>
  <c r="C105" i="23"/>
  <c r="B28" i="60" s="1"/>
  <c r="F28"/>
  <c r="C107" i="23"/>
  <c r="B30" i="60" s="1"/>
  <c r="C106" i="23"/>
  <c r="B29" i="60" s="1"/>
  <c r="H12"/>
  <c r="E38" l="1"/>
  <c r="E25"/>
  <c r="E37"/>
  <c r="E42" s="1"/>
  <c r="F42" s="1"/>
  <c r="E24"/>
  <c r="E21"/>
  <c r="E30"/>
  <c r="F30" s="1"/>
  <c r="E43"/>
  <c r="F43" s="1"/>
  <c r="I38"/>
  <c r="I43" s="1"/>
  <c r="J43" s="1"/>
  <c r="I34"/>
  <c r="J34" s="1"/>
  <c r="I37"/>
  <c r="I42" s="1"/>
  <c r="J42" s="1"/>
  <c r="F9"/>
  <c r="E29" l="1"/>
  <c r="F29" s="1"/>
  <c r="F31" s="1"/>
  <c r="G31" s="1"/>
  <c r="F44"/>
  <c r="J44"/>
  <c r="J30"/>
  <c r="J38"/>
  <c r="I29"/>
  <c r="J29" s="1"/>
  <c r="J37"/>
  <c r="B64" i="59"/>
  <c r="I55"/>
  <c r="B13" i="61"/>
  <c r="D23" i="67" s="1"/>
  <c r="I52" i="59"/>
  <c r="I51"/>
  <c r="B10" i="61"/>
  <c r="D15" i="67" s="1"/>
  <c r="E47" i="57"/>
  <c r="J39" i="60" l="1"/>
  <c r="J31"/>
  <c r="K31" s="1"/>
  <c r="E29" i="57"/>
  <c r="E9" i="24"/>
  <c r="H74"/>
  <c r="F74"/>
  <c r="D72"/>
  <c r="E72" s="1"/>
  <c r="G72" s="1"/>
  <c r="I71"/>
  <c r="G71"/>
  <c r="I67"/>
  <c r="G67"/>
  <c r="H64"/>
  <c r="F64"/>
  <c r="D62"/>
  <c r="E62" s="1"/>
  <c r="G62" s="1"/>
  <c r="I61"/>
  <c r="G61"/>
  <c r="I57"/>
  <c r="G57"/>
  <c r="H54"/>
  <c r="F54"/>
  <c r="D52"/>
  <c r="E52" s="1"/>
  <c r="I51"/>
  <c r="G51"/>
  <c r="I47"/>
  <c r="G47"/>
  <c r="H44"/>
  <c r="F44"/>
  <c r="D42"/>
  <c r="E42" s="1"/>
  <c r="I41"/>
  <c r="G41"/>
  <c r="I37"/>
  <c r="G37"/>
  <c r="H34"/>
  <c r="F34"/>
  <c r="D32"/>
  <c r="E32" s="1"/>
  <c r="I32" s="1"/>
  <c r="I31"/>
  <c r="G31"/>
  <c r="I27"/>
  <c r="G27"/>
  <c r="H24"/>
  <c r="F24"/>
  <c r="D22"/>
  <c r="E22" s="1"/>
  <c r="G22" s="1"/>
  <c r="I21"/>
  <c r="G21"/>
  <c r="F19"/>
  <c r="F29" s="1"/>
  <c r="F18"/>
  <c r="F28" s="1"/>
  <c r="I17"/>
  <c r="G17"/>
  <c r="H14"/>
  <c r="F14"/>
  <c r="E12"/>
  <c r="I11"/>
  <c r="G11"/>
  <c r="G7"/>
  <c r="G9" l="1"/>
  <c r="E19"/>
  <c r="G32"/>
  <c r="I9"/>
  <c r="I52"/>
  <c r="G52"/>
  <c r="I12"/>
  <c r="G12"/>
  <c r="F39"/>
  <c r="G42"/>
  <c r="I42"/>
  <c r="F38"/>
  <c r="I22"/>
  <c r="I62"/>
  <c r="I72"/>
  <c r="F26" i="23"/>
  <c r="F106" i="19"/>
  <c r="G108"/>
  <c r="E109" s="1"/>
  <c r="G105"/>
  <c r="N92" i="59"/>
  <c r="M92"/>
  <c r="L92"/>
  <c r="F92"/>
  <c r="B92"/>
  <c r="N91"/>
  <c r="M91"/>
  <c r="L91"/>
  <c r="F91"/>
  <c r="B91"/>
  <c r="I76"/>
  <c r="I75"/>
  <c r="B17" i="61"/>
  <c r="D27" i="67" s="1"/>
  <c r="I73" i="59"/>
  <c r="K73" s="1"/>
  <c r="J71"/>
  <c r="K71" s="1"/>
  <c r="I70"/>
  <c r="I69"/>
  <c r="I68"/>
  <c r="I67"/>
  <c r="B66"/>
  <c r="I50"/>
  <c r="I48"/>
  <c r="I47"/>
  <c r="F43"/>
  <c r="I43" s="1"/>
  <c r="K43" s="1"/>
  <c r="J42"/>
  <c r="I42"/>
  <c r="F41"/>
  <c r="F45" s="1"/>
  <c r="I45" s="1"/>
  <c r="E30"/>
  <c r="I29"/>
  <c r="I27"/>
  <c r="I26"/>
  <c r="I25"/>
  <c r="I24"/>
  <c r="I23"/>
  <c r="I22"/>
  <c r="I21"/>
  <c r="I20"/>
  <c r="I18"/>
  <c r="F17"/>
  <c r="I17" s="1"/>
  <c r="I16"/>
  <c r="I11"/>
  <c r="I10"/>
  <c r="I9"/>
  <c r="I8"/>
  <c r="L5"/>
  <c r="M5" s="1"/>
  <c r="N5" s="1"/>
  <c r="B5"/>
  <c r="C5" s="1"/>
  <c r="F5" s="1"/>
  <c r="C2" i="61"/>
  <c r="D3" i="67" s="1"/>
  <c r="E356" i="19" l="1"/>
  <c r="E405" s="1"/>
  <c r="F109"/>
  <c r="G109" s="1"/>
  <c r="G110" s="1"/>
  <c r="J12" i="59" s="1"/>
  <c r="I77"/>
  <c r="E29" i="24"/>
  <c r="G19"/>
  <c r="I19"/>
  <c r="I59" i="59"/>
  <c r="D39" i="60"/>
  <c r="H39" s="1"/>
  <c r="K39" s="1"/>
  <c r="E62" i="59"/>
  <c r="I62" s="1"/>
  <c r="D44" i="60" s="1"/>
  <c r="I65" i="59"/>
  <c r="K65" s="1"/>
  <c r="I12"/>
  <c r="M12" s="1"/>
  <c r="I64"/>
  <c r="I30"/>
  <c r="F48" i="24"/>
  <c r="F49"/>
  <c r="E106" i="19"/>
  <c r="G106" s="1"/>
  <c r="G107" s="1"/>
  <c r="K42" i="59"/>
  <c r="I41"/>
  <c r="G44" i="60" l="1"/>
  <c r="H44"/>
  <c r="K44" s="1"/>
  <c r="B27" i="67"/>
  <c r="H27" s="1"/>
  <c r="D46" i="60"/>
  <c r="E39" i="24"/>
  <c r="I29"/>
  <c r="G29"/>
  <c r="K12" i="59"/>
  <c r="I31"/>
  <c r="F59" i="24"/>
  <c r="F58"/>
  <c r="N27" i="67" l="1"/>
  <c r="M27" s="1"/>
  <c r="L27" s="1"/>
  <c r="H29"/>
  <c r="F46" i="60"/>
  <c r="G46" s="1"/>
  <c r="H46"/>
  <c r="J46" s="1"/>
  <c r="K46" s="1"/>
  <c r="E49" i="24"/>
  <c r="I39"/>
  <c r="G39"/>
  <c r="I33" i="59"/>
  <c r="M33" s="1"/>
  <c r="M85" s="1"/>
  <c r="I37"/>
  <c r="I38" s="1"/>
  <c r="F68" i="24"/>
  <c r="F69"/>
  <c r="N29" i="67" l="1"/>
  <c r="M29" s="1"/>
  <c r="L29" s="1"/>
  <c r="H30"/>
  <c r="E59" i="24"/>
  <c r="G49"/>
  <c r="I49"/>
  <c r="I39" i="59"/>
  <c r="N30" i="67" l="1"/>
  <c r="M30" s="1"/>
  <c r="J30"/>
  <c r="E69" i="24"/>
  <c r="G59"/>
  <c r="I59"/>
  <c r="M31" i="67" l="1"/>
  <c r="L30"/>
  <c r="I69" i="24"/>
  <c r="G69"/>
  <c r="C104" i="56"/>
  <c r="M32" i="67" l="1"/>
  <c r="L32" s="1"/>
  <c r="L31"/>
  <c r="I40" i="20"/>
  <c r="I29"/>
  <c r="I21"/>
  <c r="I16"/>
  <c r="O378" i="23" l="1"/>
  <c r="N381"/>
  <c r="O381" s="1"/>
  <c r="N234" l="1"/>
  <c r="O234" s="1"/>
  <c r="AK233"/>
  <c r="J89" i="20" l="1"/>
  <c r="K89" s="1"/>
  <c r="E89"/>
  <c r="I89" s="1"/>
  <c r="E65"/>
  <c r="I65" s="1"/>
  <c r="I60"/>
  <c r="E77"/>
  <c r="I77"/>
  <c r="B76"/>
  <c r="I74"/>
  <c r="E74"/>
  <c r="B73"/>
  <c r="H397" i="23"/>
  <c r="I397" s="1"/>
  <c r="E397" s="1"/>
  <c r="C397" s="1"/>
  <c r="K396"/>
  <c r="I396"/>
  <c r="E396" s="1"/>
  <c r="C396" s="1"/>
  <c r="E70" i="20"/>
  <c r="E69"/>
  <c r="E68"/>
  <c r="I84"/>
  <c r="I83"/>
  <c r="I82"/>
  <c r="B81"/>
  <c r="F363" i="23"/>
  <c r="F368"/>
  <c r="T361"/>
  <c r="U361" s="1"/>
  <c r="R361"/>
  <c r="S361" s="1"/>
  <c r="P361"/>
  <c r="Q361" s="1"/>
  <c r="N361"/>
  <c r="O361" s="1"/>
  <c r="L361"/>
  <c r="M361" s="1"/>
  <c r="J361"/>
  <c r="K361" s="1"/>
  <c r="H361"/>
  <c r="T360"/>
  <c r="U360" s="1"/>
  <c r="R360"/>
  <c r="S360" s="1"/>
  <c r="P360"/>
  <c r="Q360" s="1"/>
  <c r="N360"/>
  <c r="O360" s="1"/>
  <c r="M360"/>
  <c r="L360"/>
  <c r="J360"/>
  <c r="K360" s="1"/>
  <c r="H360"/>
  <c r="T359"/>
  <c r="U359" s="1"/>
  <c r="R359"/>
  <c r="S359" s="1"/>
  <c r="P359"/>
  <c r="Q359" s="1"/>
  <c r="N359"/>
  <c r="O359" s="1"/>
  <c r="L359"/>
  <c r="M359" s="1"/>
  <c r="K359"/>
  <c r="J359"/>
  <c r="H359"/>
  <c r="I359" s="1"/>
  <c r="E359" s="1"/>
  <c r="C359" s="1"/>
  <c r="U358"/>
  <c r="S358"/>
  <c r="Q358"/>
  <c r="O358"/>
  <c r="M358"/>
  <c r="K358"/>
  <c r="I358"/>
  <c r="E358" s="1"/>
  <c r="C358" s="1"/>
  <c r="T357"/>
  <c r="U357" s="1"/>
  <c r="R357"/>
  <c r="S357" s="1"/>
  <c r="P357"/>
  <c r="Q357" s="1"/>
  <c r="N357"/>
  <c r="O357" s="1"/>
  <c r="M357"/>
  <c r="L357"/>
  <c r="J357"/>
  <c r="K357" s="1"/>
  <c r="H357"/>
  <c r="I357" s="1"/>
  <c r="U356"/>
  <c r="S356"/>
  <c r="Q356"/>
  <c r="O356"/>
  <c r="M356"/>
  <c r="K356"/>
  <c r="I356"/>
  <c r="I70" i="20"/>
  <c r="I69"/>
  <c r="I68"/>
  <c r="B67"/>
  <c r="G14"/>
  <c r="I14"/>
  <c r="I58"/>
  <c r="F146" i="23"/>
  <c r="F151"/>
  <c r="M146"/>
  <c r="R144"/>
  <c r="S144" s="1"/>
  <c r="P144"/>
  <c r="Q144" s="1"/>
  <c r="N144"/>
  <c r="O144" s="1"/>
  <c r="M144"/>
  <c r="L144"/>
  <c r="J144"/>
  <c r="K144" s="1"/>
  <c r="H144"/>
  <c r="I144" s="1"/>
  <c r="E144" s="1"/>
  <c r="C144" s="1"/>
  <c r="R143"/>
  <c r="S143" s="1"/>
  <c r="P143"/>
  <c r="Q143" s="1"/>
  <c r="N143"/>
  <c r="O143" s="1"/>
  <c r="L143"/>
  <c r="M143" s="1"/>
  <c r="K143"/>
  <c r="J143"/>
  <c r="H143"/>
  <c r="S142"/>
  <c r="R142"/>
  <c r="P142"/>
  <c r="Q142" s="1"/>
  <c r="N142"/>
  <c r="O142" s="1"/>
  <c r="L142"/>
  <c r="M142" s="1"/>
  <c r="K142"/>
  <c r="J142"/>
  <c r="I142"/>
  <c r="E142" s="1"/>
  <c r="C142" s="1"/>
  <c r="H142"/>
  <c r="S141"/>
  <c r="Q141"/>
  <c r="O141"/>
  <c r="M141"/>
  <c r="K141"/>
  <c r="I141"/>
  <c r="E141" s="1"/>
  <c r="C141" s="1"/>
  <c r="R140"/>
  <c r="S140" s="1"/>
  <c r="Q140"/>
  <c r="P140"/>
  <c r="N140"/>
  <c r="O140" s="1"/>
  <c r="L140"/>
  <c r="M140" s="1"/>
  <c r="J140"/>
  <c r="K140" s="1"/>
  <c r="H140"/>
  <c r="I140" s="1"/>
  <c r="E140" s="1"/>
  <c r="C140" s="1"/>
  <c r="S139"/>
  <c r="Q139"/>
  <c r="O139"/>
  <c r="M139"/>
  <c r="K139"/>
  <c r="I139"/>
  <c r="E139" s="1"/>
  <c r="C139" s="1"/>
  <c r="E64" i="20"/>
  <c r="E55"/>
  <c r="I52"/>
  <c r="O91" i="23"/>
  <c r="E91" s="1"/>
  <c r="D23" i="60" s="1"/>
  <c r="N94" i="23"/>
  <c r="O94" s="1"/>
  <c r="E94" s="1"/>
  <c r="C94" s="1"/>
  <c r="P94"/>
  <c r="Q94" s="1"/>
  <c r="L94"/>
  <c r="M94" s="1"/>
  <c r="J94"/>
  <c r="K94" s="1"/>
  <c r="P93"/>
  <c r="Q93" s="1"/>
  <c r="N93"/>
  <c r="O93" s="1"/>
  <c r="E93" s="1"/>
  <c r="D25" i="60" s="1"/>
  <c r="L93" i="23"/>
  <c r="M93" s="1"/>
  <c r="J93"/>
  <c r="K93" s="1"/>
  <c r="P92"/>
  <c r="Q92" s="1"/>
  <c r="N92"/>
  <c r="O92" s="1"/>
  <c r="E92" s="1"/>
  <c r="D24" i="60" s="1"/>
  <c r="L92" i="23"/>
  <c r="M92" s="1"/>
  <c r="J92"/>
  <c r="K92" s="1"/>
  <c r="Q91"/>
  <c r="M91"/>
  <c r="K91"/>
  <c r="I91"/>
  <c r="P90"/>
  <c r="Q90" s="1"/>
  <c r="N90"/>
  <c r="O90" s="1"/>
  <c r="E90" s="1"/>
  <c r="L90"/>
  <c r="M90" s="1"/>
  <c r="J90"/>
  <c r="K90" s="1"/>
  <c r="Q89"/>
  <c r="O89"/>
  <c r="E89" s="1"/>
  <c r="D21" i="60" s="1"/>
  <c r="M89" i="23"/>
  <c r="K89"/>
  <c r="I89"/>
  <c r="I85"/>
  <c r="H92" s="1"/>
  <c r="I92" s="1"/>
  <c r="L76"/>
  <c r="M73"/>
  <c r="E73" s="1"/>
  <c r="F77"/>
  <c r="G77" s="1"/>
  <c r="P76"/>
  <c r="Q76" s="1"/>
  <c r="N76"/>
  <c r="O76" s="1"/>
  <c r="J76"/>
  <c r="K76" s="1"/>
  <c r="P75"/>
  <c r="Q75" s="1"/>
  <c r="N75"/>
  <c r="O75" s="1"/>
  <c r="L75"/>
  <c r="M75" s="1"/>
  <c r="E75" s="1"/>
  <c r="J75"/>
  <c r="K75" s="1"/>
  <c r="P74"/>
  <c r="Q74" s="1"/>
  <c r="N74"/>
  <c r="O74" s="1"/>
  <c r="L74"/>
  <c r="M74" s="1"/>
  <c r="E74" s="1"/>
  <c r="J74"/>
  <c r="K74" s="1"/>
  <c r="Q73"/>
  <c r="O73"/>
  <c r="K73"/>
  <c r="I73"/>
  <c r="P72"/>
  <c r="Q72" s="1"/>
  <c r="N72"/>
  <c r="O72" s="1"/>
  <c r="L72"/>
  <c r="M72" s="1"/>
  <c r="E72" s="1"/>
  <c r="J72"/>
  <c r="K72" s="1"/>
  <c r="Q71"/>
  <c r="O71"/>
  <c r="M71"/>
  <c r="E71" s="1"/>
  <c r="K71"/>
  <c r="I71"/>
  <c r="I67"/>
  <c r="H72" s="1"/>
  <c r="I72" s="1"/>
  <c r="I51" i="20"/>
  <c r="G14" i="39"/>
  <c r="G13"/>
  <c r="G52" i="54"/>
  <c r="G51"/>
  <c r="G50"/>
  <c r="E9" i="57"/>
  <c r="E8"/>
  <c r="E7"/>
  <c r="F47" i="20"/>
  <c r="F46"/>
  <c r="F43"/>
  <c r="F38"/>
  <c r="F37"/>
  <c r="I37" s="1"/>
  <c r="F36"/>
  <c r="H37"/>
  <c r="F35"/>
  <c r="I25"/>
  <c r="I26"/>
  <c r="I27"/>
  <c r="I28"/>
  <c r="I24"/>
  <c r="F61" i="19"/>
  <c r="F64"/>
  <c r="G64" s="1"/>
  <c r="F57"/>
  <c r="F51"/>
  <c r="G51" s="1"/>
  <c r="I10" i="20"/>
  <c r="C90" i="23" l="1"/>
  <c r="B22" i="60" s="1"/>
  <c r="D22"/>
  <c r="H21"/>
  <c r="J21" s="1"/>
  <c r="F21"/>
  <c r="H25"/>
  <c r="J25" s="1"/>
  <c r="F25"/>
  <c r="H23"/>
  <c r="J23" s="1"/>
  <c r="F23"/>
  <c r="H24"/>
  <c r="J24" s="1"/>
  <c r="F24"/>
  <c r="D17"/>
  <c r="B17"/>
  <c r="D15"/>
  <c r="B15"/>
  <c r="D18"/>
  <c r="B18"/>
  <c r="C92" i="23"/>
  <c r="B24" i="60" s="1"/>
  <c r="D14"/>
  <c r="B14"/>
  <c r="D16"/>
  <c r="B16"/>
  <c r="C93" i="23"/>
  <c r="B25" i="60" s="1"/>
  <c r="C89" i="23"/>
  <c r="B21" i="60" s="1"/>
  <c r="C91" i="23"/>
  <c r="B23" i="60" s="1"/>
  <c r="I361" i="23"/>
  <c r="E360"/>
  <c r="C360" s="1"/>
  <c r="I360"/>
  <c r="M150"/>
  <c r="E143"/>
  <c r="C143" s="1"/>
  <c r="I143"/>
  <c r="I150" s="1"/>
  <c r="E76"/>
  <c r="E357"/>
  <c r="C357" s="1"/>
  <c r="K149"/>
  <c r="K150"/>
  <c r="K99"/>
  <c r="M366"/>
  <c r="K366"/>
  <c r="E99"/>
  <c r="K367"/>
  <c r="E356"/>
  <c r="C356" s="1"/>
  <c r="K100"/>
  <c r="F95"/>
  <c r="G95" s="1"/>
  <c r="M367"/>
  <c r="E149"/>
  <c r="I149"/>
  <c r="M149"/>
  <c r="M100"/>
  <c r="H94"/>
  <c r="I94" s="1"/>
  <c r="I99" s="1"/>
  <c r="M99"/>
  <c r="H93"/>
  <c r="I93" s="1"/>
  <c r="H90"/>
  <c r="I90" s="1"/>
  <c r="H74"/>
  <c r="I74" s="1"/>
  <c r="K81"/>
  <c r="K80"/>
  <c r="H76"/>
  <c r="I76" s="1"/>
  <c r="H75"/>
  <c r="I75" s="1"/>
  <c r="E18" i="51"/>
  <c r="E15"/>
  <c r="E14"/>
  <c r="E13"/>
  <c r="E12"/>
  <c r="C25"/>
  <c r="F41" i="50"/>
  <c r="F38"/>
  <c r="H22" i="60" l="1"/>
  <c r="J22" s="1"/>
  <c r="J26" s="1"/>
  <c r="K26" s="1"/>
  <c r="F22"/>
  <c r="F26" s="1"/>
  <c r="G26" s="1"/>
  <c r="F15"/>
  <c r="H15"/>
  <c r="J15" s="1"/>
  <c r="F14"/>
  <c r="H14"/>
  <c r="J14" s="1"/>
  <c r="F18"/>
  <c r="H18"/>
  <c r="J18" s="1"/>
  <c r="F17"/>
  <c r="H17"/>
  <c r="J17" s="1"/>
  <c r="F16"/>
  <c r="H16"/>
  <c r="J16" s="1"/>
  <c r="I367" i="23"/>
  <c r="E361"/>
  <c r="E367" s="1"/>
  <c r="I366"/>
  <c r="M80"/>
  <c r="M81"/>
  <c r="E150"/>
  <c r="E100"/>
  <c r="I100"/>
  <c r="E80"/>
  <c r="I80"/>
  <c r="E81"/>
  <c r="I81"/>
  <c r="E271" i="19"/>
  <c r="E286"/>
  <c r="E296"/>
  <c r="E307"/>
  <c r="E257"/>
  <c r="F225"/>
  <c r="E200"/>
  <c r="E190"/>
  <c r="E180"/>
  <c r="E167"/>
  <c r="E272"/>
  <c r="F19" i="60" l="1"/>
  <c r="G19" s="1"/>
  <c r="J19"/>
  <c r="K19" s="1"/>
  <c r="E366" i="23"/>
  <c r="C361"/>
  <c r="E138" i="19"/>
  <c r="C56" i="57"/>
  <c r="E118" i="19"/>
  <c r="F63"/>
  <c r="F62"/>
  <c r="E60"/>
  <c r="E16"/>
  <c r="A23" i="20" l="1"/>
  <c r="J88" l="1"/>
  <c r="K88" s="1"/>
  <c r="O229" i="23"/>
  <c r="O231"/>
  <c r="B34" i="60" l="1"/>
  <c r="D34"/>
  <c r="F34" s="1"/>
  <c r="B36"/>
  <c r="D36"/>
  <c r="F36" s="1"/>
  <c r="L165" i="23"/>
  <c r="L163"/>
  <c r="M163" s="1"/>
  <c r="E163" s="1"/>
  <c r="C163" s="1"/>
  <c r="M162"/>
  <c r="E162" s="1"/>
  <c r="C162" s="1"/>
  <c r="E224" i="19"/>
  <c r="E223"/>
  <c r="F219"/>
  <c r="F235" s="1"/>
  <c r="I53" i="23"/>
  <c r="E53" s="1"/>
  <c r="I49"/>
  <c r="H58" s="1"/>
  <c r="G53" i="53"/>
  <c r="G52"/>
  <c r="G51"/>
  <c r="G50"/>
  <c r="G53" i="52"/>
  <c r="G52"/>
  <c r="G51"/>
  <c r="G50"/>
  <c r="K8" i="39"/>
  <c r="K9" s="1"/>
  <c r="F8"/>
  <c r="G8"/>
  <c r="F9"/>
  <c r="G9"/>
  <c r="H9"/>
  <c r="J9"/>
  <c r="C19" i="57"/>
  <c r="G90"/>
  <c r="G87"/>
  <c r="C76"/>
  <c r="G70"/>
  <c r="E67"/>
  <c r="G67" s="1"/>
  <c r="G50"/>
  <c r="G47"/>
  <c r="C36"/>
  <c r="G32"/>
  <c r="G29"/>
  <c r="G15"/>
  <c r="G12"/>
  <c r="E10"/>
  <c r="G10" s="1"/>
  <c r="E25"/>
  <c r="E24"/>
  <c r="E129" i="19"/>
  <c r="C53" i="23" l="1"/>
  <c r="B7" i="60" s="1"/>
  <c r="D7"/>
  <c r="M165" i="23"/>
  <c r="E165" s="1"/>
  <c r="C165" s="1"/>
  <c r="H57"/>
  <c r="I57" s="1"/>
  <c r="E57" s="1"/>
  <c r="I62"/>
  <c r="H56"/>
  <c r="I56" s="1"/>
  <c r="E56" s="1"/>
  <c r="H54"/>
  <c r="M8" i="39"/>
  <c r="G8" i="57"/>
  <c r="M9" i="39"/>
  <c r="E43" i="57"/>
  <c r="G25"/>
  <c r="E42"/>
  <c r="G24"/>
  <c r="G7"/>
  <c r="G9"/>
  <c r="E26"/>
  <c r="F7" i="60" l="1"/>
  <c r="H7"/>
  <c r="J7" s="1"/>
  <c r="D11"/>
  <c r="B11"/>
  <c r="D10"/>
  <c r="C56" i="23"/>
  <c r="B10" i="60" s="1"/>
  <c r="I54" i="23"/>
  <c r="E54" s="1"/>
  <c r="E27" i="57"/>
  <c r="G27" s="1"/>
  <c r="E44"/>
  <c r="G26"/>
  <c r="E62"/>
  <c r="G42"/>
  <c r="E63"/>
  <c r="G43"/>
  <c r="H10" i="60" l="1"/>
  <c r="J10" s="1"/>
  <c r="F10"/>
  <c r="F11"/>
  <c r="H11"/>
  <c r="J11" s="1"/>
  <c r="D8"/>
  <c r="C54" i="23"/>
  <c r="B8" i="60" s="1"/>
  <c r="I63" i="23"/>
  <c r="G63" i="57"/>
  <c r="E83"/>
  <c r="G83" s="1"/>
  <c r="E45"/>
  <c r="G45" s="1"/>
  <c r="E64"/>
  <c r="G44"/>
  <c r="E82"/>
  <c r="G82" s="1"/>
  <c r="G62"/>
  <c r="F8" i="60" l="1"/>
  <c r="F12" s="1"/>
  <c r="G12" s="1"/>
  <c r="H8"/>
  <c r="J8" s="1"/>
  <c r="J12" s="1"/>
  <c r="K12" s="1"/>
  <c r="K47" s="1"/>
  <c r="E56" i="57"/>
  <c r="G56" s="1"/>
  <c r="E65"/>
  <c r="G65" s="1"/>
  <c r="E84"/>
  <c r="G64"/>
  <c r="K84" i="59" l="1"/>
  <c r="G84" i="57"/>
  <c r="E85"/>
  <c r="G85" s="1"/>
  <c r="E76"/>
  <c r="G76" s="1"/>
  <c r="E96" l="1"/>
  <c r="G96" s="1"/>
  <c r="G57" i="19" l="1"/>
  <c r="F49"/>
  <c r="F17"/>
  <c r="I159" l="1"/>
  <c r="J159" s="1"/>
  <c r="N63" i="20"/>
  <c r="E88"/>
  <c r="H38"/>
  <c r="F115" i="19" l="1"/>
  <c r="F137" l="1"/>
  <c r="F126"/>
  <c r="G126" s="1"/>
  <c r="F305"/>
  <c r="F304"/>
  <c r="F294"/>
  <c r="F293"/>
  <c r="F323" s="1"/>
  <c r="F284"/>
  <c r="F325" s="1"/>
  <c r="F283"/>
  <c r="F324" s="1"/>
  <c r="F282"/>
  <c r="F269"/>
  <c r="F268"/>
  <c r="F267"/>
  <c r="F254"/>
  <c r="F255"/>
  <c r="F238"/>
  <c r="F237"/>
  <c r="F222"/>
  <c r="F221"/>
  <c r="F199"/>
  <c r="F189"/>
  <c r="F179"/>
  <c r="F157"/>
  <c r="F156"/>
  <c r="F155"/>
  <c r="F154"/>
  <c r="F148"/>
  <c r="G144"/>
  <c r="F144"/>
  <c r="I148"/>
  <c r="G323" l="1"/>
  <c r="G329" s="1"/>
  <c r="F330" s="1"/>
  <c r="G330" s="1"/>
  <c r="G331" s="1"/>
  <c r="F364"/>
  <c r="G364" s="1"/>
  <c r="G325"/>
  <c r="F366"/>
  <c r="G324"/>
  <c r="F365"/>
  <c r="G365" s="1"/>
  <c r="F129"/>
  <c r="G129" s="1"/>
  <c r="F47"/>
  <c r="F46"/>
  <c r="F45"/>
  <c r="F44"/>
  <c r="F12"/>
  <c r="F11"/>
  <c r="G366" l="1"/>
  <c r="F367"/>
  <c r="F14"/>
  <c r="G367" l="1"/>
  <c r="F369"/>
  <c r="G369" s="1"/>
  <c r="O16"/>
  <c r="F371" l="1"/>
  <c r="G371" s="1"/>
  <c r="G372" s="1"/>
  <c r="N50" i="20"/>
  <c r="H36"/>
  <c r="O39"/>
  <c r="T9"/>
  <c r="T11"/>
  <c r="T8"/>
  <c r="I43" l="1"/>
  <c r="T13"/>
  <c r="F127" i="19" l="1"/>
  <c r="G127" s="1"/>
  <c r="F344"/>
  <c r="G311"/>
  <c r="F312" s="1"/>
  <c r="F209"/>
  <c r="G128" l="1"/>
  <c r="G130" s="1"/>
  <c r="G131" s="1"/>
  <c r="J29" i="20" s="1"/>
  <c r="K29" s="1"/>
  <c r="E128" i="19"/>
  <c r="G344"/>
  <c r="F387"/>
  <c r="G387" s="1"/>
  <c r="F53"/>
  <c r="F52"/>
  <c r="F50"/>
  <c r="F264"/>
  <c r="F279"/>
  <c r="E8" i="24"/>
  <c r="F116" i="19"/>
  <c r="F280"/>
  <c r="C111" i="55"/>
  <c r="C107"/>
  <c r="C105"/>
  <c r="C99"/>
  <c r="C94"/>
  <c r="C90"/>
  <c r="C75"/>
  <c r="N47"/>
  <c r="N46"/>
  <c r="N45"/>
  <c r="L44"/>
  <c r="K44"/>
  <c r="G44"/>
  <c r="F44"/>
  <c r="L43"/>
  <c r="K43"/>
  <c r="G43"/>
  <c r="F43"/>
  <c r="L42"/>
  <c r="K42"/>
  <c r="G42"/>
  <c r="F42"/>
  <c r="N41"/>
  <c r="N40"/>
  <c r="G39"/>
  <c r="F39"/>
  <c r="G38"/>
  <c r="F38"/>
  <c r="G37"/>
  <c r="N37" s="1"/>
  <c r="G36"/>
  <c r="N36" s="1"/>
  <c r="G35"/>
  <c r="N35" s="1"/>
  <c r="I34"/>
  <c r="N34" s="1"/>
  <c r="G34"/>
  <c r="I33"/>
  <c r="G33"/>
  <c r="I32"/>
  <c r="G32"/>
  <c r="G31"/>
  <c r="N31" s="1"/>
  <c r="G30"/>
  <c r="N30" s="1"/>
  <c r="G29"/>
  <c r="N29" s="1"/>
  <c r="I28"/>
  <c r="G28"/>
  <c r="I27"/>
  <c r="G27"/>
  <c r="I26"/>
  <c r="G26"/>
  <c r="I25"/>
  <c r="G25"/>
  <c r="I24"/>
  <c r="G24"/>
  <c r="I23"/>
  <c r="G23"/>
  <c r="N23" s="1"/>
  <c r="I22"/>
  <c r="G22"/>
  <c r="I21"/>
  <c r="G21"/>
  <c r="I20"/>
  <c r="G20"/>
  <c r="I19"/>
  <c r="G19"/>
  <c r="I18"/>
  <c r="G18"/>
  <c r="G14"/>
  <c r="N14" s="1"/>
  <c r="I13"/>
  <c r="N13" s="1"/>
  <c r="G13"/>
  <c r="G12"/>
  <c r="N12" s="1"/>
  <c r="N16" s="1"/>
  <c r="G11"/>
  <c r="N11" s="1"/>
  <c r="G10"/>
  <c r="N10" s="1"/>
  <c r="G8" i="24" l="1"/>
  <c r="G10" s="1"/>
  <c r="G13" s="1"/>
  <c r="E14" s="1"/>
  <c r="G14" s="1"/>
  <c r="G15" s="1"/>
  <c r="E18"/>
  <c r="I8"/>
  <c r="I10" s="1"/>
  <c r="I13" s="1"/>
  <c r="I14" s="1"/>
  <c r="I15" s="1"/>
  <c r="E19" i="51"/>
  <c r="F215" i="19"/>
  <c r="F195"/>
  <c r="I8" i="39"/>
  <c r="F185" i="19"/>
  <c r="E13" i="57"/>
  <c r="F247" i="19"/>
  <c r="N33" i="55"/>
  <c r="N39"/>
  <c r="N19"/>
  <c r="N21"/>
  <c r="N25"/>
  <c r="N27"/>
  <c r="N32"/>
  <c r="N42"/>
  <c r="N44"/>
  <c r="F231" i="19"/>
  <c r="F216"/>
  <c r="F250"/>
  <c r="F249"/>
  <c r="N20" i="55"/>
  <c r="N24"/>
  <c r="N28"/>
  <c r="N38"/>
  <c r="N15"/>
  <c r="N18"/>
  <c r="N22"/>
  <c r="N26"/>
  <c r="N43"/>
  <c r="N17"/>
  <c r="F251" i="19" l="1"/>
  <c r="F342"/>
  <c r="I18" i="24"/>
  <c r="I20" s="1"/>
  <c r="I23" s="1"/>
  <c r="I24" s="1"/>
  <c r="I25" s="1"/>
  <c r="E28"/>
  <c r="G18"/>
  <c r="G20" s="1"/>
  <c r="G23" s="1"/>
  <c r="E24" s="1"/>
  <c r="G24" s="1"/>
  <c r="G25" s="1"/>
  <c r="F232" i="19"/>
  <c r="E49" i="57"/>
  <c r="E69" s="1"/>
  <c r="E14"/>
  <c r="I9" i="39"/>
  <c r="L8"/>
  <c r="N8" s="1"/>
  <c r="F13" s="1"/>
  <c r="E30" i="57"/>
  <c r="E48" s="1"/>
  <c r="G13"/>
  <c r="F196" i="19"/>
  <c r="F161"/>
  <c r="F248"/>
  <c r="F217"/>
  <c r="Q63" i="20"/>
  <c r="O87"/>
  <c r="O66"/>
  <c r="O64"/>
  <c r="O59"/>
  <c r="O50"/>
  <c r="O54"/>
  <c r="G342" i="19" l="1"/>
  <c r="G351" s="1"/>
  <c r="G352" s="1"/>
  <c r="G353" s="1"/>
  <c r="G354" s="1"/>
  <c r="G355" s="1"/>
  <c r="F356" s="1"/>
  <c r="G356" s="1"/>
  <c r="G357" s="1"/>
  <c r="G358" s="1"/>
  <c r="F385"/>
  <c r="G385" s="1"/>
  <c r="G401" s="1"/>
  <c r="G402" s="1"/>
  <c r="G28" i="24"/>
  <c r="G30" s="1"/>
  <c r="G33" s="1"/>
  <c r="E34" s="1"/>
  <c r="G34" s="1"/>
  <c r="G35" s="1"/>
  <c r="I28"/>
  <c r="I30" s="1"/>
  <c r="I33" s="1"/>
  <c r="I34" s="1"/>
  <c r="I35" s="1"/>
  <c r="E38"/>
  <c r="G49" i="57"/>
  <c r="E31"/>
  <c r="G31" s="1"/>
  <c r="G14"/>
  <c r="G16" s="1"/>
  <c r="E17" s="1"/>
  <c r="G17" s="1"/>
  <c r="G18" s="1"/>
  <c r="E19" s="1"/>
  <c r="G19" s="1"/>
  <c r="G20" s="1"/>
  <c r="G21" s="1"/>
  <c r="L9" i="39"/>
  <c r="N9" s="1"/>
  <c r="F14" s="1"/>
  <c r="G30" i="57"/>
  <c r="E89"/>
  <c r="G89" s="1"/>
  <c r="G69"/>
  <c r="O88" i="20"/>
  <c r="F206" i="19"/>
  <c r="F186"/>
  <c r="F176" s="1"/>
  <c r="P47" i="20"/>
  <c r="P46"/>
  <c r="G403" i="19" l="1"/>
  <c r="F405" s="1"/>
  <c r="G38" i="24"/>
  <c r="G40" s="1"/>
  <c r="G43" s="1"/>
  <c r="E44" s="1"/>
  <c r="G44" s="1"/>
  <c r="G45" s="1"/>
  <c r="I38"/>
  <c r="I40" s="1"/>
  <c r="I43" s="1"/>
  <c r="I44" s="1"/>
  <c r="I45" s="1"/>
  <c r="E48"/>
  <c r="G33" i="57"/>
  <c r="E34" s="1"/>
  <c r="G34" s="1"/>
  <c r="G35" s="1"/>
  <c r="E36" s="1"/>
  <c r="G36" s="1"/>
  <c r="G37" s="1"/>
  <c r="G38" s="1"/>
  <c r="E68"/>
  <c r="G48"/>
  <c r="O61" i="20"/>
  <c r="Q48"/>
  <c r="T48" s="1"/>
  <c r="G405" i="19" l="1"/>
  <c r="G48" i="24"/>
  <c r="G50" s="1"/>
  <c r="G53" s="1"/>
  <c r="E54" s="1"/>
  <c r="G54" s="1"/>
  <c r="G55" s="1"/>
  <c r="I48"/>
  <c r="I50" s="1"/>
  <c r="I53" s="1"/>
  <c r="I54" s="1"/>
  <c r="I55" s="1"/>
  <c r="J41" i="59" s="1"/>
  <c r="E58" i="24"/>
  <c r="G51" i="57"/>
  <c r="E52" s="1"/>
  <c r="G52" s="1"/>
  <c r="G53" s="1"/>
  <c r="E88"/>
  <c r="G88" s="1"/>
  <c r="G91" s="1"/>
  <c r="E92" s="1"/>
  <c r="G92" s="1"/>
  <c r="G93" s="1"/>
  <c r="E94" s="1"/>
  <c r="G94" s="1"/>
  <c r="G95" s="1"/>
  <c r="G97" s="1"/>
  <c r="G98" s="1"/>
  <c r="J48" i="59" s="1"/>
  <c r="K48" s="1"/>
  <c r="G68" i="57"/>
  <c r="G71" s="1"/>
  <c r="E72" s="1"/>
  <c r="G72" s="1"/>
  <c r="G73" s="1"/>
  <c r="E74" s="1"/>
  <c r="G74" s="1"/>
  <c r="G75" s="1"/>
  <c r="G77" s="1"/>
  <c r="G78" s="1"/>
  <c r="P65" i="53"/>
  <c r="P63"/>
  <c r="K41" i="59" l="1"/>
  <c r="F406" i="19"/>
  <c r="G406" s="1"/>
  <c r="G407" s="1"/>
  <c r="G408" s="1"/>
  <c r="G409" s="1"/>
  <c r="G410" s="1"/>
  <c r="J77" i="59" s="1"/>
  <c r="K77" s="1"/>
  <c r="G58" i="24"/>
  <c r="G60" s="1"/>
  <c r="G63" s="1"/>
  <c r="E64" s="1"/>
  <c r="G64" s="1"/>
  <c r="G65" s="1"/>
  <c r="I58"/>
  <c r="I60" s="1"/>
  <c r="I63" s="1"/>
  <c r="I64" s="1"/>
  <c r="I65" s="1"/>
  <c r="E68"/>
  <c r="E54" i="57"/>
  <c r="G54" s="1"/>
  <c r="G55" s="1"/>
  <c r="G57" s="1"/>
  <c r="P66" i="53"/>
  <c r="H56" i="54"/>
  <c r="H52"/>
  <c r="H51"/>
  <c r="H50"/>
  <c r="C48"/>
  <c r="M36"/>
  <c r="D35"/>
  <c r="G31"/>
  <c r="K23"/>
  <c r="B25" s="1"/>
  <c r="D25" s="1"/>
  <c r="G25" s="1"/>
  <c r="G26" s="1"/>
  <c r="H31" s="1"/>
  <c r="G23"/>
  <c r="E23"/>
  <c r="F17"/>
  <c r="H12"/>
  <c r="G17" s="1"/>
  <c r="D7"/>
  <c r="H56" i="53"/>
  <c r="H52"/>
  <c r="H53"/>
  <c r="H51"/>
  <c r="H50"/>
  <c r="L36"/>
  <c r="D35"/>
  <c r="G31"/>
  <c r="J23"/>
  <c r="B25" s="1"/>
  <c r="D25" s="1"/>
  <c r="G25" s="1"/>
  <c r="G26" s="1"/>
  <c r="H31" s="1"/>
  <c r="G23"/>
  <c r="E23"/>
  <c r="F17"/>
  <c r="H12"/>
  <c r="G17" s="1"/>
  <c r="D7"/>
  <c r="H56" i="52"/>
  <c r="H53"/>
  <c r="H52"/>
  <c r="H51"/>
  <c r="H50"/>
  <c r="L36"/>
  <c r="D35"/>
  <c r="G31"/>
  <c r="J23"/>
  <c r="B25" s="1"/>
  <c r="D25" s="1"/>
  <c r="G25" s="1"/>
  <c r="G26" s="1"/>
  <c r="H31" s="1"/>
  <c r="G23"/>
  <c r="E23"/>
  <c r="F17"/>
  <c r="H12"/>
  <c r="L17" s="1"/>
  <c r="L20" s="1"/>
  <c r="D7"/>
  <c r="I68" i="24" l="1"/>
  <c r="I70" s="1"/>
  <c r="I73" s="1"/>
  <c r="I74" s="1"/>
  <c r="I75" s="1"/>
  <c r="G68"/>
  <c r="G70" s="1"/>
  <c r="G73" s="1"/>
  <c r="E74" s="1"/>
  <c r="G74" s="1"/>
  <c r="G75" s="1"/>
  <c r="G58" i="57"/>
  <c r="J43" i="20" s="1"/>
  <c r="K43" s="1"/>
  <c r="L31" i="52"/>
  <c r="L17" i="53"/>
  <c r="L20" s="1"/>
  <c r="H59"/>
  <c r="H60"/>
  <c r="H59" i="52"/>
  <c r="H60"/>
  <c r="H58" i="53"/>
  <c r="H58" i="52"/>
  <c r="L31" i="53"/>
  <c r="L35" s="1"/>
  <c r="L37" s="1"/>
  <c r="L38" s="1"/>
  <c r="G17" i="52"/>
  <c r="G53" i="54"/>
  <c r="H53" s="1"/>
  <c r="H58" s="1"/>
  <c r="M31"/>
  <c r="M17"/>
  <c r="M20" s="1"/>
  <c r="L35" i="52"/>
  <c r="L37" s="1"/>
  <c r="J47" i="59" l="1"/>
  <c r="K47" s="1"/>
  <c r="M35" i="54"/>
  <c r="M37" s="1"/>
  <c r="M38" s="1"/>
  <c r="H61" i="53"/>
  <c r="H62" s="1"/>
  <c r="H61" i="52"/>
  <c r="H62" s="1"/>
  <c r="H13" i="39" s="1"/>
  <c r="I13" s="1"/>
  <c r="H60" i="54"/>
  <c r="H59"/>
  <c r="H14" i="39" l="1"/>
  <c r="I14" s="1"/>
  <c r="J45" i="59"/>
  <c r="K45" s="1"/>
  <c r="H61" i="54"/>
  <c r="H62" s="1"/>
  <c r="L39" i="52"/>
  <c r="L40" s="1"/>
  <c r="L41" s="1"/>
  <c r="L39" i="53"/>
  <c r="L40" s="1"/>
  <c r="L41" s="1"/>
  <c r="E36" i="37"/>
  <c r="C36"/>
  <c r="B35"/>
  <c r="E34"/>
  <c r="C34"/>
  <c r="B33"/>
  <c r="M39" i="54" l="1"/>
  <c r="M40" s="1"/>
  <c r="M41" s="1"/>
  <c r="F34" i="37"/>
  <c r="E32"/>
  <c r="C32"/>
  <c r="E30"/>
  <c r="C30"/>
  <c r="E28"/>
  <c r="C28"/>
  <c r="E26"/>
  <c r="C26"/>
  <c r="B25"/>
  <c r="F30" l="1"/>
  <c r="F28"/>
  <c r="F32"/>
  <c r="F26"/>
  <c r="E24"/>
  <c r="C24"/>
  <c r="F24" l="1"/>
  <c r="C22"/>
  <c r="C20"/>
  <c r="E18" l="1"/>
  <c r="C18"/>
  <c r="E16"/>
  <c r="C16"/>
  <c r="F16" l="1"/>
  <c r="F18"/>
  <c r="E14"/>
  <c r="C14"/>
  <c r="C12"/>
  <c r="B11"/>
  <c r="E10"/>
  <c r="C10"/>
  <c r="B9"/>
  <c r="E8"/>
  <c r="C8"/>
  <c r="B7"/>
  <c r="F10" l="1"/>
  <c r="F14"/>
  <c r="F8"/>
  <c r="E6"/>
  <c r="C6"/>
  <c r="B5"/>
  <c r="F6" l="1"/>
  <c r="E4"/>
  <c r="C4"/>
  <c r="B3"/>
  <c r="F4" l="1"/>
  <c r="C15" i="38" l="1"/>
  <c r="L36" i="42" l="1"/>
  <c r="D35" l="1"/>
  <c r="G31"/>
  <c r="J23"/>
  <c r="G23"/>
  <c r="E23"/>
  <c r="F17"/>
  <c r="H12"/>
  <c r="L17" s="1"/>
  <c r="G17" s="1"/>
  <c r="D7"/>
  <c r="L36" i="41"/>
  <c r="D35"/>
  <c r="G31"/>
  <c r="J23"/>
  <c r="G23"/>
  <c r="E23"/>
  <c r="F17"/>
  <c r="H12"/>
  <c r="L17" s="1"/>
  <c r="G17" s="1"/>
  <c r="D7"/>
  <c r="L20" i="42" l="1"/>
  <c r="L20" i="41"/>
  <c r="F20" i="51"/>
  <c r="F19"/>
  <c r="F18"/>
  <c r="F17"/>
  <c r="F15"/>
  <c r="F14"/>
  <c r="F13"/>
  <c r="F12"/>
  <c r="E25" l="1"/>
  <c r="F25" s="1"/>
  <c r="F21"/>
  <c r="E22" l="1"/>
  <c r="F22" s="1"/>
  <c r="F23" s="1"/>
  <c r="N9" i="33" l="1"/>
  <c r="J5"/>
  <c r="G5"/>
  <c r="D5"/>
  <c r="A5"/>
  <c r="C10" i="32"/>
  <c r="B10"/>
  <c r="A10"/>
  <c r="B27" i="18"/>
  <c r="B26"/>
  <c r="E22"/>
  <c r="B22"/>
  <c r="E21"/>
  <c r="B21"/>
  <c r="B15"/>
  <c r="A14"/>
  <c r="A12"/>
  <c r="N9" i="16"/>
  <c r="K9"/>
  <c r="H9"/>
  <c r="E9"/>
  <c r="B9"/>
  <c r="J5"/>
  <c r="G5"/>
  <c r="D5"/>
  <c r="A5"/>
  <c r="H19" i="7"/>
  <c r="Q16"/>
  <c r="P16"/>
  <c r="R9"/>
  <c r="R8"/>
  <c r="I6"/>
  <c r="C162" i="27"/>
  <c r="C161"/>
  <c r="D157"/>
  <c r="B157"/>
  <c r="D156"/>
  <c r="B156"/>
  <c r="F149"/>
  <c r="G146"/>
  <c r="F142"/>
  <c r="G141"/>
  <c r="F139"/>
  <c r="G138"/>
  <c r="E139" s="1"/>
  <c r="F136"/>
  <c r="G135"/>
  <c r="F133"/>
  <c r="G132"/>
  <c r="D129"/>
  <c r="D128"/>
  <c r="D127"/>
  <c r="D126"/>
  <c r="D125"/>
  <c r="D124"/>
  <c r="D123"/>
  <c r="B123"/>
  <c r="D122"/>
  <c r="D121"/>
  <c r="B121"/>
  <c r="D120"/>
  <c r="D119"/>
  <c r="D118"/>
  <c r="D117"/>
  <c r="D116"/>
  <c r="D115"/>
  <c r="D114"/>
  <c r="D113"/>
  <c r="D112"/>
  <c r="F103"/>
  <c r="E103"/>
  <c r="F102"/>
  <c r="E102"/>
  <c r="F101"/>
  <c r="E101"/>
  <c r="G99"/>
  <c r="L98"/>
  <c r="J98"/>
  <c r="H98"/>
  <c r="L97"/>
  <c r="J97"/>
  <c r="H97"/>
  <c r="L96"/>
  <c r="J96"/>
  <c r="H96"/>
  <c r="L94"/>
  <c r="J94"/>
  <c r="H94"/>
  <c r="D91"/>
  <c r="D90"/>
  <c r="D89"/>
  <c r="D88"/>
  <c r="D87"/>
  <c r="D86"/>
  <c r="D85"/>
  <c r="B85"/>
  <c r="D84"/>
  <c r="D83"/>
  <c r="B83"/>
  <c r="D82"/>
  <c r="B82" s="1"/>
  <c r="D81"/>
  <c r="D80"/>
  <c r="D79"/>
  <c r="D78"/>
  <c r="D77"/>
  <c r="D76"/>
  <c r="D75"/>
  <c r="D74"/>
  <c r="I68"/>
  <c r="E64"/>
  <c r="E68" s="1"/>
  <c r="F61"/>
  <c r="F60"/>
  <c r="F59"/>
  <c r="G59" s="1"/>
  <c r="G57"/>
  <c r="M56" s="1"/>
  <c r="L56"/>
  <c r="J56"/>
  <c r="I56"/>
  <c r="H56"/>
  <c r="L55"/>
  <c r="J55"/>
  <c r="I55"/>
  <c r="H55"/>
  <c r="M54"/>
  <c r="L54"/>
  <c r="J54"/>
  <c r="I54"/>
  <c r="H54"/>
  <c r="E53"/>
  <c r="L52"/>
  <c r="J52"/>
  <c r="I52" s="1"/>
  <c r="I61" s="1"/>
  <c r="H52"/>
  <c r="O51"/>
  <c r="E51"/>
  <c r="D49"/>
  <c r="D48"/>
  <c r="D47"/>
  <c r="D46"/>
  <c r="D45"/>
  <c r="D44"/>
  <c r="D43"/>
  <c r="B43"/>
  <c r="B44" s="1"/>
  <c r="D42"/>
  <c r="D41"/>
  <c r="D40"/>
  <c r="D39"/>
  <c r="B39"/>
  <c r="D38"/>
  <c r="D37"/>
  <c r="D36"/>
  <c r="D35"/>
  <c r="D34"/>
  <c r="D33"/>
  <c r="D32"/>
  <c r="E26"/>
  <c r="E25"/>
  <c r="F18"/>
  <c r="F17"/>
  <c r="F25" s="1"/>
  <c r="G25" s="1"/>
  <c r="F16"/>
  <c r="G13"/>
  <c r="M12"/>
  <c r="L12"/>
  <c r="K12"/>
  <c r="J12"/>
  <c r="I12"/>
  <c r="E12" s="1"/>
  <c r="E16" s="1"/>
  <c r="H12"/>
  <c r="M11"/>
  <c r="L11"/>
  <c r="K11"/>
  <c r="J11"/>
  <c r="I11"/>
  <c r="H11"/>
  <c r="M10"/>
  <c r="L10"/>
  <c r="K10"/>
  <c r="J10"/>
  <c r="I10"/>
  <c r="H10"/>
  <c r="E9"/>
  <c r="L8"/>
  <c r="J8"/>
  <c r="H8"/>
  <c r="A2"/>
  <c r="I64" i="20"/>
  <c r="I61"/>
  <c r="I59"/>
  <c r="I55"/>
  <c r="I8" i="27" l="1"/>
  <c r="I18" s="1"/>
  <c r="I96"/>
  <c r="K97"/>
  <c r="E133"/>
  <c r="E142"/>
  <c r="E8"/>
  <c r="M8"/>
  <c r="M18" s="1"/>
  <c r="E52"/>
  <c r="M52"/>
  <c r="M61" s="1"/>
  <c r="K54"/>
  <c r="K94"/>
  <c r="I98"/>
  <c r="G101"/>
  <c r="E136"/>
  <c r="M98"/>
  <c r="G103"/>
  <c r="G139"/>
  <c r="G140" s="1"/>
  <c r="E18"/>
  <c r="G18" s="1"/>
  <c r="B38"/>
  <c r="B45"/>
  <c r="K52"/>
  <c r="K55"/>
  <c r="K56"/>
  <c r="M59"/>
  <c r="E61"/>
  <c r="G61" s="1"/>
  <c r="B81"/>
  <c r="I94"/>
  <c r="K96"/>
  <c r="I97"/>
  <c r="K98"/>
  <c r="M101"/>
  <c r="B120"/>
  <c r="B124"/>
  <c r="G149"/>
  <c r="K8"/>
  <c r="I17"/>
  <c r="M17"/>
  <c r="B37"/>
  <c r="B36" s="1"/>
  <c r="B35" s="1"/>
  <c r="B34" s="1"/>
  <c r="B33" s="1"/>
  <c r="B32" s="1"/>
  <c r="B46"/>
  <c r="B47" s="1"/>
  <c r="B48" s="1"/>
  <c r="B49" s="1"/>
  <c r="I60"/>
  <c r="B80"/>
  <c r="B79" s="1"/>
  <c r="B78" s="1"/>
  <c r="B77" s="1"/>
  <c r="B76" s="1"/>
  <c r="B75" s="1"/>
  <c r="B74" s="1"/>
  <c r="B86"/>
  <c r="B87" s="1"/>
  <c r="B88" s="1"/>
  <c r="B89" s="1"/>
  <c r="B90" s="1"/>
  <c r="B91" s="1"/>
  <c r="B119"/>
  <c r="B118" s="1"/>
  <c r="B117" s="1"/>
  <c r="B116" s="1"/>
  <c r="B115" s="1"/>
  <c r="B114" s="1"/>
  <c r="B113" s="1"/>
  <c r="B112" s="1"/>
  <c r="B125"/>
  <c r="B126" s="1"/>
  <c r="B127" s="1"/>
  <c r="B128" s="1"/>
  <c r="B129" s="1"/>
  <c r="I88" i="20"/>
  <c r="G102" i="27"/>
  <c r="G133"/>
  <c r="G134" s="1"/>
  <c r="F68"/>
  <c r="G68" s="1"/>
  <c r="G142"/>
  <c r="G143" s="1"/>
  <c r="G60"/>
  <c r="G136"/>
  <c r="G137" s="1"/>
  <c r="K101" l="1"/>
  <c r="I101" s="1"/>
  <c r="K102"/>
  <c r="K18"/>
  <c r="K17"/>
  <c r="K59"/>
  <c r="I59" s="1"/>
  <c r="I103"/>
  <c r="I102"/>
  <c r="K61"/>
  <c r="K60"/>
  <c r="I50" i="20"/>
  <c r="I47"/>
  <c r="I46"/>
  <c r="H35" l="1"/>
  <c r="I35" s="1"/>
  <c r="I38" l="1"/>
  <c r="I36"/>
  <c r="A31" l="1"/>
  <c r="A42" s="1"/>
  <c r="A45" s="1"/>
  <c r="A49" s="1"/>
  <c r="A54" s="1"/>
  <c r="A57" s="1"/>
  <c r="A63" s="1"/>
  <c r="I39" l="1"/>
  <c r="G13"/>
  <c r="I13" s="1"/>
  <c r="I11"/>
  <c r="N11" l="1"/>
  <c r="I9"/>
  <c r="I8"/>
  <c r="B5"/>
  <c r="G475" i="23"/>
  <c r="F473"/>
  <c r="G472"/>
  <c r="G470"/>
  <c r="G471" s="1"/>
  <c r="E462"/>
  <c r="E461"/>
  <c r="E460"/>
  <c r="E453"/>
  <c r="A453"/>
  <c r="E452"/>
  <c r="A452"/>
  <c r="I15" i="20" l="1"/>
  <c r="I32" s="1"/>
  <c r="E455" i="23"/>
  <c r="N9" i="20"/>
  <c r="N8"/>
  <c r="E464" i="23"/>
  <c r="E473"/>
  <c r="G473" s="1"/>
  <c r="G474" s="1"/>
  <c r="N13" i="20"/>
  <c r="E451" i="23"/>
  <c r="A451"/>
  <c r="F448"/>
  <c r="F447"/>
  <c r="C20" i="20" l="1"/>
  <c r="I20" s="1"/>
  <c r="N15"/>
  <c r="T442" i="23"/>
  <c r="R442"/>
  <c r="P442"/>
  <c r="N442"/>
  <c r="L442"/>
  <c r="J442"/>
  <c r="H442"/>
  <c r="T441"/>
  <c r="R441"/>
  <c r="P441"/>
  <c r="N441"/>
  <c r="L441"/>
  <c r="K441" s="1"/>
  <c r="J441"/>
  <c r="H441"/>
  <c r="T440"/>
  <c r="R440"/>
  <c r="Q440" s="1"/>
  <c r="P440"/>
  <c r="N440"/>
  <c r="L440"/>
  <c r="J440"/>
  <c r="H440"/>
  <c r="U439"/>
  <c r="S439"/>
  <c r="Q439"/>
  <c r="O439"/>
  <c r="M439"/>
  <c r="K439"/>
  <c r="I439"/>
  <c r="I440" l="1"/>
  <c r="S441"/>
  <c r="M440"/>
  <c r="O441"/>
  <c r="K442"/>
  <c r="S442"/>
  <c r="O442"/>
  <c r="K440"/>
  <c r="O440"/>
  <c r="S440"/>
  <c r="I441"/>
  <c r="M441"/>
  <c r="Q441"/>
  <c r="I442"/>
  <c r="M442"/>
  <c r="Q442"/>
  <c r="E439"/>
  <c r="C439" s="1"/>
  <c r="T438"/>
  <c r="R438"/>
  <c r="P438"/>
  <c r="N438"/>
  <c r="L438"/>
  <c r="J438"/>
  <c r="H438"/>
  <c r="U437"/>
  <c r="S437"/>
  <c r="Q437"/>
  <c r="O437"/>
  <c r="M437"/>
  <c r="K437"/>
  <c r="I437"/>
  <c r="F427"/>
  <c r="F426"/>
  <c r="I438" l="1"/>
  <c r="I448" s="1"/>
  <c r="Q438"/>
  <c r="I447"/>
  <c r="M438"/>
  <c r="M448" s="1"/>
  <c r="U438"/>
  <c r="K438"/>
  <c r="K448" s="1"/>
  <c r="O438"/>
  <c r="S438"/>
  <c r="T421"/>
  <c r="R421"/>
  <c r="P421"/>
  <c r="N421"/>
  <c r="L421"/>
  <c r="J421"/>
  <c r="H421"/>
  <c r="T420"/>
  <c r="R420"/>
  <c r="P420"/>
  <c r="N420"/>
  <c r="L420"/>
  <c r="J420"/>
  <c r="H420"/>
  <c r="T419"/>
  <c r="R419"/>
  <c r="P419"/>
  <c r="O419" s="1"/>
  <c r="N419"/>
  <c r="L419"/>
  <c r="J419"/>
  <c r="H419"/>
  <c r="U418"/>
  <c r="S418"/>
  <c r="E418" s="1"/>
  <c r="C418" s="1"/>
  <c r="Q418"/>
  <c r="O418"/>
  <c r="M418"/>
  <c r="K418"/>
  <c r="I418"/>
  <c r="T417"/>
  <c r="R417"/>
  <c r="P417"/>
  <c r="N417"/>
  <c r="L417"/>
  <c r="J417"/>
  <c r="H417"/>
  <c r="U416"/>
  <c r="S416"/>
  <c r="Q416"/>
  <c r="O416"/>
  <c r="M416"/>
  <c r="K416"/>
  <c r="I416"/>
  <c r="F407"/>
  <c r="F406"/>
  <c r="I420" l="1"/>
  <c r="Q420"/>
  <c r="K417"/>
  <c r="S417"/>
  <c r="I421"/>
  <c r="I426" s="1"/>
  <c r="Q421"/>
  <c r="K419"/>
  <c r="S419"/>
  <c r="E419" s="1"/>
  <c r="C419" s="1"/>
  <c r="M420"/>
  <c r="O417"/>
  <c r="M421"/>
  <c r="M426" s="1"/>
  <c r="I417"/>
  <c r="M417"/>
  <c r="Q417"/>
  <c r="U417"/>
  <c r="I419"/>
  <c r="M419"/>
  <c r="Q419"/>
  <c r="K420"/>
  <c r="O420"/>
  <c r="S420"/>
  <c r="K421"/>
  <c r="K426" s="1"/>
  <c r="O421"/>
  <c r="S421"/>
  <c r="E421" s="1"/>
  <c r="T401"/>
  <c r="R401"/>
  <c r="P401"/>
  <c r="N401"/>
  <c r="L401"/>
  <c r="J401"/>
  <c r="H401"/>
  <c r="T400"/>
  <c r="R400"/>
  <c r="P400"/>
  <c r="N400"/>
  <c r="L400"/>
  <c r="J400"/>
  <c r="H400"/>
  <c r="T399"/>
  <c r="R399"/>
  <c r="P399"/>
  <c r="N399"/>
  <c r="L399"/>
  <c r="J399"/>
  <c r="H399"/>
  <c r="U398"/>
  <c r="S398"/>
  <c r="Q398"/>
  <c r="O398"/>
  <c r="M398"/>
  <c r="K398"/>
  <c r="I398"/>
  <c r="E398" s="1"/>
  <c r="C398" s="1"/>
  <c r="T397"/>
  <c r="R397"/>
  <c r="P397"/>
  <c r="N397"/>
  <c r="L397"/>
  <c r="J397"/>
  <c r="U420" l="1"/>
  <c r="C421"/>
  <c r="U397"/>
  <c r="K427"/>
  <c r="K397"/>
  <c r="S397"/>
  <c r="O399"/>
  <c r="I400"/>
  <c r="E400" s="1"/>
  <c r="C400" s="1"/>
  <c r="Q400"/>
  <c r="I401"/>
  <c r="E401" s="1"/>
  <c r="C401" s="1"/>
  <c r="Q401"/>
  <c r="U400" s="1"/>
  <c r="O397"/>
  <c r="K399"/>
  <c r="S399"/>
  <c r="M400"/>
  <c r="M401"/>
  <c r="I427"/>
  <c r="M397"/>
  <c r="Q397"/>
  <c r="I399"/>
  <c r="E399" s="1"/>
  <c r="C399" s="1"/>
  <c r="M399"/>
  <c r="Q399"/>
  <c r="K400"/>
  <c r="O400"/>
  <c r="S400"/>
  <c r="K401"/>
  <c r="O401"/>
  <c r="S401"/>
  <c r="M427"/>
  <c r="U396"/>
  <c r="S396"/>
  <c r="Q396"/>
  <c r="O396"/>
  <c r="M396"/>
  <c r="F387"/>
  <c r="F386"/>
  <c r="K406" l="1"/>
  <c r="I406"/>
  <c r="M406"/>
  <c r="K407"/>
  <c r="I407"/>
  <c r="M407"/>
  <c r="T381"/>
  <c r="R381"/>
  <c r="P381"/>
  <c r="L381"/>
  <c r="J381"/>
  <c r="H381"/>
  <c r="T380"/>
  <c r="R380"/>
  <c r="Q380" s="1"/>
  <c r="P380"/>
  <c r="N380"/>
  <c r="O380" s="1"/>
  <c r="L380"/>
  <c r="J380"/>
  <c r="I380" s="1"/>
  <c r="H380"/>
  <c r="T379"/>
  <c r="R379"/>
  <c r="P379"/>
  <c r="N379"/>
  <c r="O379" s="1"/>
  <c r="L379"/>
  <c r="J379"/>
  <c r="H379"/>
  <c r="U378"/>
  <c r="S378"/>
  <c r="Q378"/>
  <c r="E378"/>
  <c r="C378" s="1"/>
  <c r="M378"/>
  <c r="K378"/>
  <c r="I378"/>
  <c r="T377"/>
  <c r="R377"/>
  <c r="P377"/>
  <c r="N377"/>
  <c r="L377"/>
  <c r="J377"/>
  <c r="H377"/>
  <c r="S379" l="1"/>
  <c r="K379"/>
  <c r="M380"/>
  <c r="M377"/>
  <c r="U377"/>
  <c r="I377"/>
  <c r="Q377"/>
  <c r="I381"/>
  <c r="Q381"/>
  <c r="M381"/>
  <c r="K377"/>
  <c r="O377"/>
  <c r="S377"/>
  <c r="I379"/>
  <c r="M379"/>
  <c r="Q379"/>
  <c r="K380"/>
  <c r="S380"/>
  <c r="K381"/>
  <c r="E381"/>
  <c r="S381"/>
  <c r="U376"/>
  <c r="S376"/>
  <c r="Q376"/>
  <c r="O376"/>
  <c r="M376"/>
  <c r="K376"/>
  <c r="I376"/>
  <c r="F346"/>
  <c r="F367" s="1"/>
  <c r="F345"/>
  <c r="F366" s="1"/>
  <c r="K386" l="1"/>
  <c r="U380"/>
  <c r="C381"/>
  <c r="I386"/>
  <c r="I387"/>
  <c r="M386"/>
  <c r="M387"/>
  <c r="K387"/>
  <c r="T340"/>
  <c r="R340"/>
  <c r="P340"/>
  <c r="N340"/>
  <c r="L340"/>
  <c r="M340" s="1"/>
  <c r="J340"/>
  <c r="H340"/>
  <c r="I340" s="1"/>
  <c r="T339"/>
  <c r="R339"/>
  <c r="P339"/>
  <c r="N339"/>
  <c r="L339"/>
  <c r="M339" s="1"/>
  <c r="J339"/>
  <c r="H339"/>
  <c r="I339" s="1"/>
  <c r="T338"/>
  <c r="R338"/>
  <c r="P338"/>
  <c r="N338"/>
  <c r="L338"/>
  <c r="M338" s="1"/>
  <c r="J338"/>
  <c r="H338"/>
  <c r="U337"/>
  <c r="S337"/>
  <c r="Q337"/>
  <c r="O337"/>
  <c r="M337"/>
  <c r="E337" s="1"/>
  <c r="C337" s="1"/>
  <c r="K337"/>
  <c r="I337"/>
  <c r="T336"/>
  <c r="R336"/>
  <c r="Q336" s="1"/>
  <c r="P336"/>
  <c r="N336"/>
  <c r="L336"/>
  <c r="J336"/>
  <c r="I336" s="1"/>
  <c r="H336"/>
  <c r="U335"/>
  <c r="S335"/>
  <c r="Q335"/>
  <c r="O335"/>
  <c r="M335"/>
  <c r="K335"/>
  <c r="I335"/>
  <c r="F299"/>
  <c r="F298"/>
  <c r="U336" l="1"/>
  <c r="I338"/>
  <c r="I346" s="1"/>
  <c r="Q338"/>
  <c r="K340"/>
  <c r="K345" s="1"/>
  <c r="S340"/>
  <c r="Q339"/>
  <c r="I345"/>
  <c r="M336"/>
  <c r="E338"/>
  <c r="C338" s="1"/>
  <c r="O340"/>
  <c r="K336"/>
  <c r="O336"/>
  <c r="S336"/>
  <c r="K338"/>
  <c r="O338"/>
  <c r="S338"/>
  <c r="K339"/>
  <c r="O339"/>
  <c r="S339"/>
  <c r="E340"/>
  <c r="Q340"/>
  <c r="T293"/>
  <c r="R293"/>
  <c r="P293"/>
  <c r="N293"/>
  <c r="L293"/>
  <c r="J293"/>
  <c r="H293"/>
  <c r="T292"/>
  <c r="R292"/>
  <c r="P292"/>
  <c r="N292"/>
  <c r="L292"/>
  <c r="J292"/>
  <c r="H292"/>
  <c r="T291"/>
  <c r="R291"/>
  <c r="P291"/>
  <c r="N291"/>
  <c r="M291" s="1"/>
  <c r="L291"/>
  <c r="J291"/>
  <c r="H291"/>
  <c r="U290"/>
  <c r="E290" s="1"/>
  <c r="C290" s="1"/>
  <c r="S290"/>
  <c r="Q290"/>
  <c r="O290"/>
  <c r="M290"/>
  <c r="K290"/>
  <c r="I290"/>
  <c r="T289"/>
  <c r="R289"/>
  <c r="P289"/>
  <c r="N289"/>
  <c r="L289"/>
  <c r="J289"/>
  <c r="I289" s="1"/>
  <c r="H289"/>
  <c r="U288"/>
  <c r="S288"/>
  <c r="Q288"/>
  <c r="O288"/>
  <c r="M288"/>
  <c r="K288"/>
  <c r="I288"/>
  <c r="F279"/>
  <c r="F278"/>
  <c r="U339" l="1"/>
  <c r="C340"/>
  <c r="Q289"/>
  <c r="O292"/>
  <c r="U289"/>
  <c r="O293"/>
  <c r="M345"/>
  <c r="I291"/>
  <c r="Q291"/>
  <c r="K292"/>
  <c r="S292"/>
  <c r="M346"/>
  <c r="M289"/>
  <c r="K293"/>
  <c r="K298" s="1"/>
  <c r="S293"/>
  <c r="K346"/>
  <c r="K289"/>
  <c r="O289"/>
  <c r="S289"/>
  <c r="K291"/>
  <c r="O291"/>
  <c r="S291"/>
  <c r="I292"/>
  <c r="M292"/>
  <c r="Q292"/>
  <c r="I293"/>
  <c r="I298" s="1"/>
  <c r="M293"/>
  <c r="Q293"/>
  <c r="T273"/>
  <c r="R273"/>
  <c r="P273"/>
  <c r="N273"/>
  <c r="L273"/>
  <c r="J273"/>
  <c r="H273"/>
  <c r="T272"/>
  <c r="R272"/>
  <c r="P272"/>
  <c r="N272"/>
  <c r="L272"/>
  <c r="J272"/>
  <c r="H272"/>
  <c r="T271"/>
  <c r="R271"/>
  <c r="P271"/>
  <c r="N271"/>
  <c r="L271"/>
  <c r="J271"/>
  <c r="H271"/>
  <c r="U270"/>
  <c r="K271" l="1"/>
  <c r="S271"/>
  <c r="E271" s="1"/>
  <c r="C271" s="1"/>
  <c r="M272"/>
  <c r="O273"/>
  <c r="I299"/>
  <c r="M299"/>
  <c r="K273"/>
  <c r="S273"/>
  <c r="E273" s="1"/>
  <c r="C273" s="1"/>
  <c r="O271"/>
  <c r="I272"/>
  <c r="Q272"/>
  <c r="I271"/>
  <c r="M271"/>
  <c r="Q271"/>
  <c r="K272"/>
  <c r="O272"/>
  <c r="S272"/>
  <c r="U272"/>
  <c r="I273"/>
  <c r="M273"/>
  <c r="Q273"/>
  <c r="K299"/>
  <c r="S270"/>
  <c r="E270" s="1"/>
  <c r="C270" s="1"/>
  <c r="Q270"/>
  <c r="O270"/>
  <c r="M270"/>
  <c r="K270"/>
  <c r="I270"/>
  <c r="T269"/>
  <c r="R269"/>
  <c r="P269"/>
  <c r="N269"/>
  <c r="L269"/>
  <c r="K269" s="1"/>
  <c r="J269"/>
  <c r="H269"/>
  <c r="U268"/>
  <c r="S268"/>
  <c r="Q268"/>
  <c r="O268"/>
  <c r="M268"/>
  <c r="K268"/>
  <c r="K278" s="1"/>
  <c r="I268"/>
  <c r="I278" s="1"/>
  <c r="F259"/>
  <c r="S269" l="1"/>
  <c r="O269"/>
  <c r="K279"/>
  <c r="I269"/>
  <c r="I279" s="1"/>
  <c r="M269"/>
  <c r="M279" s="1"/>
  <c r="Q269"/>
  <c r="U269"/>
  <c r="F258"/>
  <c r="T253"/>
  <c r="R253"/>
  <c r="P253"/>
  <c r="N253"/>
  <c r="L253"/>
  <c r="M253" s="1"/>
  <c r="J253"/>
  <c r="K253" s="1"/>
  <c r="H253"/>
  <c r="I253" s="1"/>
  <c r="T252"/>
  <c r="R252"/>
  <c r="P252"/>
  <c r="N252"/>
  <c r="L252"/>
  <c r="J252"/>
  <c r="H252"/>
  <c r="U251"/>
  <c r="T251"/>
  <c r="R251"/>
  <c r="P251"/>
  <c r="N251"/>
  <c r="L251"/>
  <c r="J251"/>
  <c r="H251"/>
  <c r="U250"/>
  <c r="S250"/>
  <c r="Q250"/>
  <c r="O250"/>
  <c r="M250"/>
  <c r="K250"/>
  <c r="I250"/>
  <c r="T249"/>
  <c r="R249"/>
  <c r="P249"/>
  <c r="Q249" s="1"/>
  <c r="N249"/>
  <c r="L249"/>
  <c r="J249"/>
  <c r="H249"/>
  <c r="U248"/>
  <c r="S248"/>
  <c r="Q248"/>
  <c r="O248"/>
  <c r="M248"/>
  <c r="K248"/>
  <c r="I248"/>
  <c r="F240"/>
  <c r="F239"/>
  <c r="T234"/>
  <c r="R234"/>
  <c r="P234"/>
  <c r="L234"/>
  <c r="J234"/>
  <c r="H234"/>
  <c r="T233"/>
  <c r="R233"/>
  <c r="P233"/>
  <c r="N233"/>
  <c r="O233" s="1"/>
  <c r="L233"/>
  <c r="J233"/>
  <c r="H233"/>
  <c r="T232"/>
  <c r="U232" s="1"/>
  <c r="R232"/>
  <c r="P232"/>
  <c r="N232"/>
  <c r="O232" s="1"/>
  <c r="L232"/>
  <c r="J232"/>
  <c r="H232"/>
  <c r="U231"/>
  <c r="S231"/>
  <c r="Q231"/>
  <c r="M231"/>
  <c r="K231"/>
  <c r="I231"/>
  <c r="T230"/>
  <c r="R230"/>
  <c r="P230"/>
  <c r="N230"/>
  <c r="L230"/>
  <c r="J230"/>
  <c r="H230"/>
  <c r="U229"/>
  <c r="S229"/>
  <c r="Q229"/>
  <c r="M229"/>
  <c r="K229"/>
  <c r="I229"/>
  <c r="F219"/>
  <c r="F218"/>
  <c r="P213"/>
  <c r="N213"/>
  <c r="L213"/>
  <c r="J213"/>
  <c r="H213"/>
  <c r="P212"/>
  <c r="N212"/>
  <c r="L212"/>
  <c r="J212"/>
  <c r="H212"/>
  <c r="P211"/>
  <c r="N211"/>
  <c r="L211"/>
  <c r="J211"/>
  <c r="I211" s="1"/>
  <c r="H211"/>
  <c r="Q210"/>
  <c r="O210"/>
  <c r="M210"/>
  <c r="K210"/>
  <c r="I210"/>
  <c r="P209"/>
  <c r="N209"/>
  <c r="L209"/>
  <c r="J209"/>
  <c r="H209"/>
  <c r="Q208"/>
  <c r="O208"/>
  <c r="M208"/>
  <c r="K208"/>
  <c r="I208"/>
  <c r="M196"/>
  <c r="L194"/>
  <c r="J194"/>
  <c r="H194"/>
  <c r="L193"/>
  <c r="J193"/>
  <c r="H193"/>
  <c r="L192"/>
  <c r="J192"/>
  <c r="H192"/>
  <c r="Q191"/>
  <c r="O191"/>
  <c r="M191"/>
  <c r="K191"/>
  <c r="I191"/>
  <c r="L190"/>
  <c r="J190"/>
  <c r="H190"/>
  <c r="Q189"/>
  <c r="O189"/>
  <c r="M189"/>
  <c r="K189"/>
  <c r="I189"/>
  <c r="Q185"/>
  <c r="P193" s="1"/>
  <c r="O185"/>
  <c r="N194" s="1"/>
  <c r="E328"/>
  <c r="D328"/>
  <c r="E327"/>
  <c r="D327"/>
  <c r="E326"/>
  <c r="D326"/>
  <c r="E325"/>
  <c r="D325"/>
  <c r="E324"/>
  <c r="D324"/>
  <c r="E323"/>
  <c r="D323"/>
  <c r="E322"/>
  <c r="D322"/>
  <c r="E321"/>
  <c r="D321"/>
  <c r="B321"/>
  <c r="M194" l="1"/>
  <c r="B37" i="60"/>
  <c r="D37"/>
  <c r="F37" s="1"/>
  <c r="B38"/>
  <c r="D38"/>
  <c r="F38" s="1"/>
  <c r="M252" i="23"/>
  <c r="I230"/>
  <c r="P192"/>
  <c r="M213"/>
  <c r="M218" s="1"/>
  <c r="O209"/>
  <c r="I193"/>
  <c r="K194"/>
  <c r="M211"/>
  <c r="I213"/>
  <c r="I218" s="1"/>
  <c r="M230"/>
  <c r="K233"/>
  <c r="Q233"/>
  <c r="B322"/>
  <c r="B323" s="1"/>
  <c r="B324" s="1"/>
  <c r="B325" s="1"/>
  <c r="B326" s="1"/>
  <c r="B327" s="1"/>
  <c r="B328" s="1"/>
  <c r="K190"/>
  <c r="K209"/>
  <c r="U249"/>
  <c r="I252"/>
  <c r="Q252"/>
  <c r="K192"/>
  <c r="P194"/>
  <c r="I212"/>
  <c r="S230"/>
  <c r="I234"/>
  <c r="I239" s="1"/>
  <c r="Q234"/>
  <c r="I258"/>
  <c r="I249"/>
  <c r="K251"/>
  <c r="O253"/>
  <c r="M212"/>
  <c r="K232"/>
  <c r="S232"/>
  <c r="M234"/>
  <c r="M239" s="1"/>
  <c r="M258"/>
  <c r="M249"/>
  <c r="S249"/>
  <c r="O251"/>
  <c r="S253"/>
  <c r="N193"/>
  <c r="M193" s="1"/>
  <c r="O194"/>
  <c r="I190"/>
  <c r="N190"/>
  <c r="M190" s="1"/>
  <c r="I192"/>
  <c r="N192"/>
  <c r="M192" s="1"/>
  <c r="K193"/>
  <c r="I194"/>
  <c r="I209"/>
  <c r="M209"/>
  <c r="Q209"/>
  <c r="K211"/>
  <c r="O211"/>
  <c r="K212"/>
  <c r="O212"/>
  <c r="K213"/>
  <c r="K218" s="1"/>
  <c r="O213"/>
  <c r="K230"/>
  <c r="O230"/>
  <c r="Q230"/>
  <c r="U230"/>
  <c r="I232"/>
  <c r="M232"/>
  <c r="Q232"/>
  <c r="I233"/>
  <c r="M233"/>
  <c r="S233"/>
  <c r="K234"/>
  <c r="K239" s="1"/>
  <c r="U233"/>
  <c r="S234"/>
  <c r="K258"/>
  <c r="K249"/>
  <c r="O249"/>
  <c r="I251"/>
  <c r="M251"/>
  <c r="Q251"/>
  <c r="S251"/>
  <c r="K252"/>
  <c r="O252"/>
  <c r="S252"/>
  <c r="Q253"/>
  <c r="U252" s="1"/>
  <c r="E320"/>
  <c r="D320"/>
  <c r="E319"/>
  <c r="D319"/>
  <c r="B319"/>
  <c r="E318"/>
  <c r="D318"/>
  <c r="E317"/>
  <c r="D317"/>
  <c r="E316"/>
  <c r="D316"/>
  <c r="E315"/>
  <c r="D315"/>
  <c r="E314"/>
  <c r="D314"/>
  <c r="E313"/>
  <c r="D313"/>
  <c r="E312"/>
  <c r="D312"/>
  <c r="E311"/>
  <c r="D311"/>
  <c r="E310"/>
  <c r="D310"/>
  <c r="F171"/>
  <c r="F150" s="1"/>
  <c r="F170"/>
  <c r="F149" s="1"/>
  <c r="M167"/>
  <c r="T165"/>
  <c r="R165"/>
  <c r="Q165" s="1"/>
  <c r="P165"/>
  <c r="N165"/>
  <c r="J165"/>
  <c r="H165"/>
  <c r="T164"/>
  <c r="U164" s="1"/>
  <c r="R164"/>
  <c r="P164"/>
  <c r="N164"/>
  <c r="L164"/>
  <c r="M164" s="1"/>
  <c r="E164" s="1"/>
  <c r="C164" s="1"/>
  <c r="J164"/>
  <c r="H164"/>
  <c r="T163"/>
  <c r="R163"/>
  <c r="P163"/>
  <c r="N163"/>
  <c r="J163"/>
  <c r="H163"/>
  <c r="U162"/>
  <c r="S162"/>
  <c r="Q162"/>
  <c r="O162"/>
  <c r="K162"/>
  <c r="I162"/>
  <c r="T161"/>
  <c r="U161" s="1"/>
  <c r="R161"/>
  <c r="P161"/>
  <c r="N161"/>
  <c r="L161"/>
  <c r="M161" s="1"/>
  <c r="E161" s="1"/>
  <c r="C161" s="1"/>
  <c r="J161"/>
  <c r="H161"/>
  <c r="U160"/>
  <c r="S160"/>
  <c r="Q160"/>
  <c r="O160"/>
  <c r="M160"/>
  <c r="E160" s="1"/>
  <c r="K160"/>
  <c r="I160"/>
  <c r="D132"/>
  <c r="D131"/>
  <c r="B35" i="60" l="1"/>
  <c r="D35"/>
  <c r="F35" s="1"/>
  <c r="F39" s="1"/>
  <c r="G39" s="1"/>
  <c r="M219" i="23"/>
  <c r="E170"/>
  <c r="C160"/>
  <c r="M259"/>
  <c r="I219"/>
  <c r="I165"/>
  <c r="I170" s="1"/>
  <c r="B318"/>
  <c r="B317" s="1"/>
  <c r="B316" s="1"/>
  <c r="B315" s="1"/>
  <c r="B314" s="1"/>
  <c r="B313" s="1"/>
  <c r="B312" s="1"/>
  <c r="B311" s="1"/>
  <c r="B310" s="1"/>
  <c r="I164"/>
  <c r="Q164"/>
  <c r="M240"/>
  <c r="K219"/>
  <c r="M170"/>
  <c r="I259"/>
  <c r="S161"/>
  <c r="O163"/>
  <c r="I240"/>
  <c r="I161"/>
  <c r="O161"/>
  <c r="K163"/>
  <c r="S163"/>
  <c r="E240"/>
  <c r="K161"/>
  <c r="Q161"/>
  <c r="I163"/>
  <c r="E171"/>
  <c r="Q163"/>
  <c r="U163"/>
  <c r="K164"/>
  <c r="O164"/>
  <c r="S164"/>
  <c r="K165"/>
  <c r="K170" s="1"/>
  <c r="O165"/>
  <c r="S165"/>
  <c r="K259"/>
  <c r="K240"/>
  <c r="O192"/>
  <c r="E258"/>
  <c r="O193"/>
  <c r="E239"/>
  <c r="D130"/>
  <c r="D129"/>
  <c r="D128"/>
  <c r="D127"/>
  <c r="D126"/>
  <c r="B126"/>
  <c r="D125"/>
  <c r="D124"/>
  <c r="B124"/>
  <c r="D123"/>
  <c r="D122"/>
  <c r="D121"/>
  <c r="D120"/>
  <c r="D119"/>
  <c r="D118"/>
  <c r="D117"/>
  <c r="D116"/>
  <c r="D115"/>
  <c r="E110"/>
  <c r="F110"/>
  <c r="P58"/>
  <c r="N58"/>
  <c r="L58"/>
  <c r="J58"/>
  <c r="G47" i="60" l="1"/>
  <c r="K81" i="59" s="1"/>
  <c r="K83" s="1"/>
  <c r="K58" i="23"/>
  <c r="I171"/>
  <c r="Q58"/>
  <c r="F166"/>
  <c r="F145" s="1"/>
  <c r="G145" s="1"/>
  <c r="K171"/>
  <c r="M58"/>
  <c r="O58"/>
  <c r="G59"/>
  <c r="F108"/>
  <c r="G108" s="1"/>
  <c r="B123"/>
  <c r="B122" s="1"/>
  <c r="B121" s="1"/>
  <c r="B120" s="1"/>
  <c r="B119" s="1"/>
  <c r="B118" s="1"/>
  <c r="B117" s="1"/>
  <c r="B116" s="1"/>
  <c r="B115" s="1"/>
  <c r="B127"/>
  <c r="B128" s="1"/>
  <c r="B129" s="1"/>
  <c r="B130" s="1"/>
  <c r="B131" s="1"/>
  <c r="B132" s="1"/>
  <c r="M171"/>
  <c r="P57"/>
  <c r="N57"/>
  <c r="L57"/>
  <c r="J57"/>
  <c r="P56"/>
  <c r="N56"/>
  <c r="L56"/>
  <c r="K56" s="1"/>
  <c r="J56"/>
  <c r="Q55"/>
  <c r="O55"/>
  <c r="M55"/>
  <c r="K55"/>
  <c r="P54"/>
  <c r="N54"/>
  <c r="L54"/>
  <c r="M54" s="1"/>
  <c r="J54"/>
  <c r="Q53"/>
  <c r="O53"/>
  <c r="M53"/>
  <c r="K53"/>
  <c r="K82" i="59" l="1"/>
  <c r="K62" i="23"/>
  <c r="O56"/>
  <c r="M62"/>
  <c r="O54"/>
  <c r="Q54"/>
  <c r="O57"/>
  <c r="K57"/>
  <c r="U165"/>
  <c r="F195"/>
  <c r="G166"/>
  <c r="F306"/>
  <c r="K54"/>
  <c r="M56"/>
  <c r="M57"/>
  <c r="Q56" s="1"/>
  <c r="Q57"/>
  <c r="D47"/>
  <c r="D46"/>
  <c r="D45"/>
  <c r="D44"/>
  <c r="D43"/>
  <c r="D42"/>
  <c r="D41"/>
  <c r="B41"/>
  <c r="D40"/>
  <c r="D39"/>
  <c r="D38"/>
  <c r="D37"/>
  <c r="B37"/>
  <c r="D36"/>
  <c r="D35"/>
  <c r="D34"/>
  <c r="D33"/>
  <c r="D32"/>
  <c r="D31"/>
  <c r="D30"/>
  <c r="E26"/>
  <c r="B36" l="1"/>
  <c r="B35" s="1"/>
  <c r="B34" s="1"/>
  <c r="B33" s="1"/>
  <c r="B32" s="1"/>
  <c r="B31" s="1"/>
  <c r="B30" s="1"/>
  <c r="K63"/>
  <c r="E62"/>
  <c r="E63"/>
  <c r="Q194"/>
  <c r="F214"/>
  <c r="B42"/>
  <c r="B43" s="1"/>
  <c r="B44" s="1"/>
  <c r="B45" s="1"/>
  <c r="B46" s="1"/>
  <c r="B47" s="1"/>
  <c r="M63"/>
  <c r="F14"/>
  <c r="G11"/>
  <c r="Q213" l="1"/>
  <c r="G214"/>
  <c r="F235"/>
  <c r="G235" s="1"/>
  <c r="P10"/>
  <c r="N10"/>
  <c r="M10"/>
  <c r="L10"/>
  <c r="K10"/>
  <c r="J10"/>
  <c r="I10"/>
  <c r="H10"/>
  <c r="P9"/>
  <c r="N9"/>
  <c r="M9"/>
  <c r="L9"/>
  <c r="K9"/>
  <c r="J9"/>
  <c r="I9"/>
  <c r="H9"/>
  <c r="P8"/>
  <c r="N8"/>
  <c r="M8"/>
  <c r="L8"/>
  <c r="K8"/>
  <c r="J8"/>
  <c r="I8"/>
  <c r="H8"/>
  <c r="C8"/>
  <c r="O8" l="1"/>
  <c r="O9"/>
  <c r="O10"/>
  <c r="Q10"/>
  <c r="U234"/>
  <c r="F254"/>
  <c r="Q212"/>
  <c r="Q211" s="1"/>
  <c r="E219" s="1"/>
  <c r="E218"/>
  <c r="O7"/>
  <c r="Q7" s="1"/>
  <c r="P6"/>
  <c r="N6"/>
  <c r="L6"/>
  <c r="J6"/>
  <c r="H6"/>
  <c r="O5"/>
  <c r="J50" i="50"/>
  <c r="L13" i="39" s="1"/>
  <c r="O6" i="23" l="1"/>
  <c r="L12" i="39"/>
  <c r="K6" i="23"/>
  <c r="U253"/>
  <c r="F274"/>
  <c r="G254"/>
  <c r="I6"/>
  <c r="M6"/>
  <c r="N47" i="50"/>
  <c r="N46"/>
  <c r="N45"/>
  <c r="L44"/>
  <c r="K44"/>
  <c r="G44"/>
  <c r="N44" s="1"/>
  <c r="L43"/>
  <c r="K43"/>
  <c r="G43"/>
  <c r="L42"/>
  <c r="K42"/>
  <c r="G42"/>
  <c r="N41"/>
  <c r="N40"/>
  <c r="G39"/>
  <c r="G38"/>
  <c r="G37"/>
  <c r="G36"/>
  <c r="G35"/>
  <c r="I34"/>
  <c r="G34"/>
  <c r="I33"/>
  <c r="G33"/>
  <c r="I32"/>
  <c r="G32"/>
  <c r="G31"/>
  <c r="G30"/>
  <c r="G29"/>
  <c r="I28"/>
  <c r="G28"/>
  <c r="I27"/>
  <c r="G27"/>
  <c r="I26"/>
  <c r="G26"/>
  <c r="I25"/>
  <c r="G25"/>
  <c r="I24"/>
  <c r="G24"/>
  <c r="I23"/>
  <c r="G23"/>
  <c r="I22"/>
  <c r="G22"/>
  <c r="I21"/>
  <c r="G21"/>
  <c r="I20"/>
  <c r="G20"/>
  <c r="I19"/>
  <c r="G19"/>
  <c r="I18"/>
  <c r="G18"/>
  <c r="N35" l="1"/>
  <c r="N32"/>
  <c r="N37"/>
  <c r="N42"/>
  <c r="N29"/>
  <c r="N18"/>
  <c r="J46" i="20"/>
  <c r="K46" s="1"/>
  <c r="N19" i="50"/>
  <c r="N20"/>
  <c r="N21"/>
  <c r="N22"/>
  <c r="N23"/>
  <c r="N24"/>
  <c r="N25"/>
  <c r="N26"/>
  <c r="N27"/>
  <c r="N28"/>
  <c r="N30"/>
  <c r="N31"/>
  <c r="N36"/>
  <c r="N43"/>
  <c r="U273" i="23"/>
  <c r="F294"/>
  <c r="G274"/>
  <c r="N33" i="50"/>
  <c r="N34"/>
  <c r="N38"/>
  <c r="N39"/>
  <c r="U293" i="23" l="1"/>
  <c r="E293" s="1"/>
  <c r="F341"/>
  <c r="F362" s="1"/>
  <c r="G362" s="1"/>
  <c r="G294"/>
  <c r="J47" i="20"/>
  <c r="K47" s="1"/>
  <c r="G14" i="50"/>
  <c r="N14" s="1"/>
  <c r="G13"/>
  <c r="N12" s="1"/>
  <c r="G12"/>
  <c r="U292" i="23" l="1"/>
  <c r="C293"/>
  <c r="N13" i="50"/>
  <c r="U340" i="23"/>
  <c r="F382"/>
  <c r="G341"/>
  <c r="G11" i="50"/>
  <c r="N11" s="1"/>
  <c r="N15" s="1"/>
  <c r="G10"/>
  <c r="N10" s="1"/>
  <c r="N17" s="1"/>
  <c r="N16" s="1"/>
  <c r="U381" i="23" l="1"/>
  <c r="F402"/>
  <c r="G382"/>
  <c r="U401" l="1"/>
  <c r="G402"/>
  <c r="H130" i="25"/>
  <c r="E130"/>
  <c r="C130"/>
  <c r="H129"/>
  <c r="E129"/>
  <c r="C129"/>
  <c r="H123"/>
  <c r="F123"/>
  <c r="I121"/>
  <c r="G121"/>
  <c r="I117"/>
  <c r="G117"/>
  <c r="E115"/>
  <c r="H114"/>
  <c r="F114"/>
  <c r="H113"/>
  <c r="F113"/>
  <c r="H112"/>
  <c r="F112"/>
  <c r="H111"/>
  <c r="F111"/>
  <c r="H106"/>
  <c r="F106"/>
  <c r="I104"/>
  <c r="G104"/>
  <c r="I102"/>
  <c r="G102"/>
  <c r="I100"/>
  <c r="G100"/>
  <c r="E98"/>
  <c r="H97"/>
  <c r="F97"/>
  <c r="H96"/>
  <c r="F96"/>
  <c r="H95"/>
  <c r="F95"/>
  <c r="H94"/>
  <c r="F94"/>
  <c r="H88"/>
  <c r="F88"/>
  <c r="I84"/>
  <c r="G84"/>
  <c r="E82"/>
  <c r="H81"/>
  <c r="F81"/>
  <c r="H80"/>
  <c r="F80"/>
  <c r="H79"/>
  <c r="F79"/>
  <c r="H78"/>
  <c r="F78"/>
  <c r="H73"/>
  <c r="F73"/>
  <c r="I71"/>
  <c r="G71"/>
  <c r="I69"/>
  <c r="G69"/>
  <c r="I67"/>
  <c r="G67"/>
  <c r="E65"/>
  <c r="H64"/>
  <c r="F64"/>
  <c r="H63"/>
  <c r="F63"/>
  <c r="H62"/>
  <c r="F62"/>
  <c r="H61"/>
  <c r="F61"/>
  <c r="H56"/>
  <c r="F56"/>
  <c r="I54"/>
  <c r="G54"/>
  <c r="I50"/>
  <c r="G50"/>
  <c r="E48"/>
  <c r="H47"/>
  <c r="F47"/>
  <c r="H46"/>
  <c r="F46"/>
  <c r="H45"/>
  <c r="F45"/>
  <c r="H44"/>
  <c r="F44"/>
  <c r="H39"/>
  <c r="F39"/>
  <c r="I37"/>
  <c r="G37"/>
  <c r="I33"/>
  <c r="G33"/>
  <c r="E31"/>
  <c r="H30"/>
  <c r="F30"/>
  <c r="H29"/>
  <c r="F29"/>
  <c r="H28"/>
  <c r="F28"/>
  <c r="H27"/>
  <c r="F27"/>
  <c r="F22"/>
  <c r="G20"/>
  <c r="G16"/>
  <c r="E14"/>
  <c r="F13"/>
  <c r="F12"/>
  <c r="F11"/>
  <c r="G10" s="1"/>
  <c r="F10"/>
  <c r="A2"/>
  <c r="E40" i="15"/>
  <c r="B26"/>
  <c r="B25"/>
  <c r="D754" i="26"/>
  <c r="B754"/>
  <c r="D753"/>
  <c r="B753"/>
  <c r="F641"/>
  <c r="G640"/>
  <c r="F638"/>
  <c r="E638"/>
  <c r="G637"/>
  <c r="F635"/>
  <c r="G634"/>
  <c r="E635" s="1"/>
  <c r="F632"/>
  <c r="G631"/>
  <c r="E632" s="1"/>
  <c r="F628"/>
  <c r="F625"/>
  <c r="F622"/>
  <c r="F619"/>
  <c r="F616"/>
  <c r="F613"/>
  <c r="F610"/>
  <c r="F607"/>
  <c r="F604"/>
  <c r="F601"/>
  <c r="F597"/>
  <c r="F594"/>
  <c r="F591"/>
  <c r="F588"/>
  <c r="F580"/>
  <c r="E580"/>
  <c r="F579"/>
  <c r="E579"/>
  <c r="G575"/>
  <c r="G574"/>
  <c r="F565"/>
  <c r="F562"/>
  <c r="F559"/>
  <c r="F556"/>
  <c r="F553"/>
  <c r="F550"/>
  <c r="F547"/>
  <c r="F544"/>
  <c r="F541"/>
  <c r="F538"/>
  <c r="F535"/>
  <c r="F532"/>
  <c r="F529"/>
  <c r="F525"/>
  <c r="F521"/>
  <c r="F516"/>
  <c r="E516"/>
  <c r="E512"/>
  <c r="E509"/>
  <c r="F508"/>
  <c r="F502"/>
  <c r="G501"/>
  <c r="E500"/>
  <c r="G45" i="25" l="1"/>
  <c r="F48" s="1"/>
  <c r="G47"/>
  <c r="I62"/>
  <c r="I64"/>
  <c r="G79"/>
  <c r="G81"/>
  <c r="I94"/>
  <c r="I96"/>
  <c r="G113"/>
  <c r="G12"/>
  <c r="G28"/>
  <c r="G516" i="26"/>
  <c r="G635"/>
  <c r="G636" s="1"/>
  <c r="G44" i="25"/>
  <c r="G46"/>
  <c r="I61"/>
  <c r="I63"/>
  <c r="G78"/>
  <c r="F82" s="1"/>
  <c r="G80"/>
  <c r="I95"/>
  <c r="I97"/>
  <c r="G580" i="26"/>
  <c r="E641"/>
  <c r="G641" s="1"/>
  <c r="G642" s="1"/>
  <c r="I27" i="25"/>
  <c r="I28"/>
  <c r="I29"/>
  <c r="I30"/>
  <c r="I44"/>
  <c r="I47"/>
  <c r="G61"/>
  <c r="G64"/>
  <c r="I79"/>
  <c r="G95"/>
  <c r="I111"/>
  <c r="I112"/>
  <c r="I113"/>
  <c r="I114"/>
  <c r="G13"/>
  <c r="G27"/>
  <c r="G30"/>
  <c r="I46"/>
  <c r="G63"/>
  <c r="I78"/>
  <c r="I81"/>
  <c r="G94"/>
  <c r="G97"/>
  <c r="G112"/>
  <c r="G579" i="26"/>
  <c r="G11" i="25"/>
  <c r="G29"/>
  <c r="I45"/>
  <c r="G62"/>
  <c r="I80"/>
  <c r="G96"/>
  <c r="G111"/>
  <c r="G114"/>
  <c r="I31" l="1"/>
  <c r="I36" s="1"/>
  <c r="H98"/>
  <c r="H65"/>
  <c r="I98"/>
  <c r="I103" s="1"/>
  <c r="I48"/>
  <c r="I53" s="1"/>
  <c r="F65"/>
  <c r="G65" s="1"/>
  <c r="G70" s="1"/>
  <c r="F14"/>
  <c r="G14" s="1"/>
  <c r="G19" s="1"/>
  <c r="I65"/>
  <c r="I70" s="1"/>
  <c r="F115"/>
  <c r="G115" s="1"/>
  <c r="G120" s="1"/>
  <c r="F98"/>
  <c r="G98" s="1"/>
  <c r="G103" s="1"/>
  <c r="I115"/>
  <c r="I120" s="1"/>
  <c r="H115"/>
  <c r="H31"/>
  <c r="F31"/>
  <c r="G31" s="1"/>
  <c r="G36" s="1"/>
  <c r="H48"/>
  <c r="G48" s="1"/>
  <c r="H82"/>
  <c r="G82" s="1"/>
  <c r="I82"/>
  <c r="E499" i="26"/>
  <c r="E498"/>
  <c r="E508" s="1"/>
  <c r="G508" s="1"/>
  <c r="F492"/>
  <c r="F489"/>
  <c r="G53" i="25" l="1"/>
  <c r="F486" i="26"/>
  <c r="F483"/>
  <c r="F480"/>
  <c r="F477"/>
  <c r="F474" l="1"/>
  <c r="F471"/>
  <c r="F468"/>
  <c r="F465"/>
  <c r="F462" l="1"/>
  <c r="E457" l="1"/>
  <c r="E456"/>
  <c r="F449"/>
  <c r="E449"/>
  <c r="F448"/>
  <c r="E448"/>
  <c r="F447"/>
  <c r="E447"/>
  <c r="G444"/>
  <c r="G443"/>
  <c r="C440"/>
  <c r="E433"/>
  <c r="G429"/>
  <c r="F427"/>
  <c r="G426"/>
  <c r="E424"/>
  <c r="F423"/>
  <c r="F422"/>
  <c r="F421"/>
  <c r="G420" s="1"/>
  <c r="F420"/>
  <c r="E415"/>
  <c r="G411"/>
  <c r="F409"/>
  <c r="G408"/>
  <c r="E406"/>
  <c r="F405"/>
  <c r="F404"/>
  <c r="G403" s="1"/>
  <c r="F403"/>
  <c r="F402"/>
  <c r="E397"/>
  <c r="G393"/>
  <c r="F391"/>
  <c r="G390"/>
  <c r="E388"/>
  <c r="F387"/>
  <c r="G386" s="1"/>
  <c r="F386"/>
  <c r="F385"/>
  <c r="F384"/>
  <c r="E379"/>
  <c r="G375"/>
  <c r="F373"/>
  <c r="G372"/>
  <c r="E370"/>
  <c r="G369" s="1"/>
  <c r="F369"/>
  <c r="F368"/>
  <c r="F367"/>
  <c r="F366"/>
  <c r="E361"/>
  <c r="G357"/>
  <c r="F355"/>
  <c r="G354"/>
  <c r="E352"/>
  <c r="F351"/>
  <c r="F350"/>
  <c r="F349"/>
  <c r="G348" s="1"/>
  <c r="F348"/>
  <c r="E343"/>
  <c r="G339"/>
  <c r="F337"/>
  <c r="G336"/>
  <c r="E334"/>
  <c r="F333"/>
  <c r="F332"/>
  <c r="G331" s="1"/>
  <c r="F331"/>
  <c r="F330"/>
  <c r="E325"/>
  <c r="G321"/>
  <c r="G333" l="1"/>
  <c r="G350"/>
  <c r="G367"/>
  <c r="G384"/>
  <c r="G405"/>
  <c r="G422"/>
  <c r="G332"/>
  <c r="G349"/>
  <c r="G366"/>
  <c r="G447"/>
  <c r="G448"/>
  <c r="G330"/>
  <c r="G387"/>
  <c r="G404"/>
  <c r="G423"/>
  <c r="G351"/>
  <c r="G368"/>
  <c r="G385"/>
  <c r="G402"/>
  <c r="G421"/>
  <c r="F319"/>
  <c r="G318"/>
  <c r="E316"/>
  <c r="F315"/>
  <c r="F314"/>
  <c r="F313"/>
  <c r="F312"/>
  <c r="E307"/>
  <c r="E305"/>
  <c r="G303"/>
  <c r="F301"/>
  <c r="G300"/>
  <c r="E298"/>
  <c r="F297"/>
  <c r="F296"/>
  <c r="F295"/>
  <c r="F294"/>
  <c r="E289"/>
  <c r="G285"/>
  <c r="F283"/>
  <c r="G282"/>
  <c r="E280"/>
  <c r="F279"/>
  <c r="F278"/>
  <c r="F277"/>
  <c r="F276"/>
  <c r="F270"/>
  <c r="G269"/>
  <c r="F267"/>
  <c r="G266"/>
  <c r="E267" s="1"/>
  <c r="F264"/>
  <c r="G263"/>
  <c r="F261"/>
  <c r="G260"/>
  <c r="E261" s="1"/>
  <c r="F258"/>
  <c r="G257"/>
  <c r="F255"/>
  <c r="G254"/>
  <c r="E255" s="1"/>
  <c r="E251"/>
  <c r="F250"/>
  <c r="F249"/>
  <c r="E270" l="1"/>
  <c r="G255"/>
  <c r="G256" s="1"/>
  <c r="G250"/>
  <c r="E264"/>
  <c r="G277"/>
  <c r="G294"/>
  <c r="G314"/>
  <c r="F352"/>
  <c r="G352" s="1"/>
  <c r="F424"/>
  <c r="G424" s="1"/>
  <c r="F334"/>
  <c r="G334" s="1"/>
  <c r="F370"/>
  <c r="G370" s="1"/>
  <c r="G267"/>
  <c r="G268" s="1"/>
  <c r="G296"/>
  <c r="G312"/>
  <c r="G249"/>
  <c r="E258"/>
  <c r="G258" s="1"/>
  <c r="G259" s="1"/>
  <c r="G270"/>
  <c r="G271" s="1"/>
  <c r="G276"/>
  <c r="G278"/>
  <c r="G295"/>
  <c r="G313"/>
  <c r="F388"/>
  <c r="G388" s="1"/>
  <c r="G264"/>
  <c r="G265" s="1"/>
  <c r="G279"/>
  <c r="G297"/>
  <c r="G315"/>
  <c r="F406"/>
  <c r="G406" s="1"/>
  <c r="E242"/>
  <c r="F241"/>
  <c r="F240"/>
  <c r="E233"/>
  <c r="G232" s="1"/>
  <c r="F232"/>
  <c r="F231"/>
  <c r="F230"/>
  <c r="F226"/>
  <c r="E220"/>
  <c r="F219"/>
  <c r="F218"/>
  <c r="F217"/>
  <c r="G216" s="1"/>
  <c r="F216"/>
  <c r="F213"/>
  <c r="E207"/>
  <c r="F206"/>
  <c r="F205"/>
  <c r="F203"/>
  <c r="F198"/>
  <c r="F193"/>
  <c r="E191"/>
  <c r="F190"/>
  <c r="F189"/>
  <c r="F187"/>
  <c r="G185" s="1"/>
  <c r="F185"/>
  <c r="F182"/>
  <c r="E177"/>
  <c r="F176"/>
  <c r="G175" s="1"/>
  <c r="F175"/>
  <c r="G173"/>
  <c r="F172"/>
  <c r="F169"/>
  <c r="E164"/>
  <c r="F163"/>
  <c r="F159"/>
  <c r="E154"/>
  <c r="G153" s="1"/>
  <c r="F153"/>
  <c r="F149"/>
  <c r="E144"/>
  <c r="F143"/>
  <c r="F139"/>
  <c r="E134"/>
  <c r="F133"/>
  <c r="F129"/>
  <c r="F122"/>
  <c r="E119"/>
  <c r="F118"/>
  <c r="F111"/>
  <c r="E108"/>
  <c r="F107"/>
  <c r="F101"/>
  <c r="G100"/>
  <c r="E101" s="1"/>
  <c r="F97"/>
  <c r="G96"/>
  <c r="E92"/>
  <c r="G90"/>
  <c r="G89"/>
  <c r="I88"/>
  <c r="G88"/>
  <c r="E86"/>
  <c r="G85" s="1"/>
  <c r="F85"/>
  <c r="F78"/>
  <c r="G75"/>
  <c r="E73"/>
  <c r="F72"/>
  <c r="E65"/>
  <c r="G64"/>
  <c r="G63"/>
  <c r="G62"/>
  <c r="G60"/>
  <c r="G59"/>
  <c r="G58"/>
  <c r="G57"/>
  <c r="G56"/>
  <c r="E54"/>
  <c r="F53"/>
  <c r="G52" s="1"/>
  <c r="F52"/>
  <c r="F51"/>
  <c r="F42"/>
  <c r="E40"/>
  <c r="G39"/>
  <c r="G38"/>
  <c r="E36"/>
  <c r="F35"/>
  <c r="F34"/>
  <c r="F33"/>
  <c r="F25"/>
  <c r="E23"/>
  <c r="F21"/>
  <c r="F14"/>
  <c r="E12"/>
  <c r="F10"/>
  <c r="A2"/>
  <c r="E306" i="19"/>
  <c r="E312" s="1"/>
  <c r="G305"/>
  <c r="G304"/>
  <c r="E295"/>
  <c r="G294"/>
  <c r="G293"/>
  <c r="F278"/>
  <c r="G278" s="1"/>
  <c r="G269"/>
  <c r="G283"/>
  <c r="J267"/>
  <c r="G282"/>
  <c r="J265"/>
  <c r="E256"/>
  <c r="G255"/>
  <c r="G254"/>
  <c r="G252"/>
  <c r="G249"/>
  <c r="G248"/>
  <c r="G247"/>
  <c r="F242"/>
  <c r="G238"/>
  <c r="G237"/>
  <c r="G235"/>
  <c r="G233"/>
  <c r="G232"/>
  <c r="G231"/>
  <c r="F230"/>
  <c r="G230" s="1"/>
  <c r="E225"/>
  <c r="G312" l="1"/>
  <c r="G313" s="1"/>
  <c r="J64" i="59" s="1"/>
  <c r="K64" s="1"/>
  <c r="E315" i="19"/>
  <c r="G315" s="1"/>
  <c r="G316" s="1"/>
  <c r="G101" i="26"/>
  <c r="G102" s="1"/>
  <c r="G206"/>
  <c r="F251"/>
  <c r="F257" i="19"/>
  <c r="F316" i="26"/>
  <c r="G316" s="1"/>
  <c r="G118"/>
  <c r="G133"/>
  <c r="G172"/>
  <c r="G189"/>
  <c r="G218"/>
  <c r="G230"/>
  <c r="F298"/>
  <c r="G298" s="1"/>
  <c r="J270" i="19"/>
  <c r="G203" i="26"/>
  <c r="E287"/>
  <c r="G225" i="19"/>
  <c r="F239"/>
  <c r="F307"/>
  <c r="F270"/>
  <c r="G270" s="1"/>
  <c r="G267"/>
  <c r="F296"/>
  <c r="G33" i="26"/>
  <c r="G35"/>
  <c r="E97"/>
  <c r="G143"/>
  <c r="G163"/>
  <c r="G176"/>
  <c r="F177" s="1"/>
  <c r="G177" s="1"/>
  <c r="G187"/>
  <c r="G190"/>
  <c r="G205"/>
  <c r="G217"/>
  <c r="G241"/>
  <c r="F280"/>
  <c r="G280" s="1"/>
  <c r="G268" i="19"/>
  <c r="G34" i="26"/>
  <c r="G53"/>
  <c r="G72"/>
  <c r="G231"/>
  <c r="G240" i="19"/>
  <c r="G51" i="26"/>
  <c r="G97"/>
  <c r="G107"/>
  <c r="G219"/>
  <c r="G240"/>
  <c r="G222" i="19"/>
  <c r="G221"/>
  <c r="G219"/>
  <c r="G218"/>
  <c r="G217"/>
  <c r="G215"/>
  <c r="G209"/>
  <c r="G206"/>
  <c r="F205"/>
  <c r="G205" s="1"/>
  <c r="G199"/>
  <c r="G196"/>
  <c r="G195"/>
  <c r="G189"/>
  <c r="G186"/>
  <c r="G179"/>
  <c r="F180" s="1"/>
  <c r="G176"/>
  <c r="F175"/>
  <c r="G175" s="1"/>
  <c r="F242" i="26" l="1"/>
  <c r="F191"/>
  <c r="F207"/>
  <c r="F233"/>
  <c r="F40"/>
  <c r="F220"/>
  <c r="G216" i="19"/>
  <c r="F223" s="1"/>
  <c r="G223" s="1"/>
  <c r="F54" i="26"/>
  <c r="G54" s="1"/>
  <c r="F272" i="19"/>
  <c r="F76" i="26"/>
  <c r="F73"/>
  <c r="G73" s="1"/>
  <c r="F224" i="19"/>
  <c r="G224" s="1"/>
  <c r="F36" i="26"/>
  <c r="G36" s="1"/>
  <c r="G185" i="19"/>
  <c r="G226" l="1"/>
  <c r="E166"/>
  <c r="F53" i="23" l="1"/>
  <c r="F71" s="1"/>
  <c r="F93" i="27"/>
  <c r="F7"/>
  <c r="G7" s="1"/>
  <c r="F51"/>
  <c r="G51" s="1"/>
  <c r="F437" i="26"/>
  <c r="F495" s="1"/>
  <c r="F5" i="23"/>
  <c r="G5" s="1"/>
  <c r="G162" i="19"/>
  <c r="G161"/>
  <c r="G160"/>
  <c r="G159"/>
  <c r="G157"/>
  <c r="G156"/>
  <c r="G155"/>
  <c r="G154"/>
  <c r="G148"/>
  <c r="F89" i="23" l="1"/>
  <c r="G89" s="1"/>
  <c r="G71"/>
  <c r="G53"/>
  <c r="F167" i="19"/>
  <c r="G167" s="1"/>
  <c r="G163"/>
  <c r="E164" s="1"/>
  <c r="F568" i="26"/>
  <c r="F160" i="23"/>
  <c r="G149" i="19"/>
  <c r="G145"/>
  <c r="G137"/>
  <c r="F139" s="1"/>
  <c r="F117"/>
  <c r="F101"/>
  <c r="E98"/>
  <c r="F97"/>
  <c r="F91"/>
  <c r="G90"/>
  <c r="F88"/>
  <c r="G87"/>
  <c r="E83"/>
  <c r="E82"/>
  <c r="G80"/>
  <c r="G79"/>
  <c r="I78"/>
  <c r="G78"/>
  <c r="F76"/>
  <c r="G160" i="23" l="1"/>
  <c r="F139"/>
  <c r="G139" s="1"/>
  <c r="G76" i="19"/>
  <c r="G81" s="1"/>
  <c r="F82" s="1"/>
  <c r="G82" s="1"/>
  <c r="E91"/>
  <c r="G91" s="1"/>
  <c r="G92" s="1"/>
  <c r="E88"/>
  <c r="G88" s="1"/>
  <c r="G89" s="1"/>
  <c r="G97"/>
  <c r="F98" s="1"/>
  <c r="G115"/>
  <c r="F118" l="1"/>
  <c r="D64"/>
  <c r="E63"/>
  <c r="G63" l="1"/>
  <c r="E62"/>
  <c r="G62" l="1"/>
  <c r="E61"/>
  <c r="E59"/>
  <c r="G56"/>
  <c r="G55"/>
  <c r="G53"/>
  <c r="G52"/>
  <c r="G50"/>
  <c r="G49"/>
  <c r="G47"/>
  <c r="G46"/>
  <c r="G44"/>
  <c r="L17"/>
  <c r="J17"/>
  <c r="F59" l="1"/>
  <c r="M17"/>
  <c r="G45"/>
  <c r="F58" s="1"/>
  <c r="E17"/>
  <c r="G59" l="1"/>
  <c r="G58"/>
  <c r="F60"/>
  <c r="G60" s="1"/>
  <c r="E15"/>
  <c r="M14"/>
  <c r="G14"/>
  <c r="M12"/>
  <c r="G12"/>
  <c r="M11"/>
  <c r="K16" l="1"/>
  <c r="M16" s="1"/>
  <c r="G11" l="1"/>
  <c r="H59" i="40"/>
  <c r="H56"/>
  <c r="H55"/>
  <c r="H54"/>
  <c r="H53"/>
  <c r="M36"/>
  <c r="D35"/>
  <c r="H63" l="1"/>
  <c r="F15" i="19"/>
  <c r="G15" s="1"/>
  <c r="H61" i="40"/>
  <c r="F16" i="19"/>
  <c r="G16" s="1"/>
  <c r="G31" i="40"/>
  <c r="K23"/>
  <c r="G23"/>
  <c r="E23"/>
  <c r="F17"/>
  <c r="H12"/>
  <c r="G17" s="1"/>
  <c r="D7"/>
  <c r="M66" i="31"/>
  <c r="K66"/>
  <c r="I66"/>
  <c r="M64"/>
  <c r="H63"/>
  <c r="M60"/>
  <c r="G59"/>
  <c r="F59"/>
  <c r="F58"/>
  <c r="H57"/>
  <c r="F57"/>
  <c r="M55"/>
  <c r="K55"/>
  <c r="A52"/>
  <c r="K51"/>
  <c r="F50"/>
  <c r="H49"/>
  <c r="H53" s="1"/>
  <c r="G49"/>
  <c r="F49"/>
  <c r="H45"/>
  <c r="P43"/>
  <c r="K41"/>
  <c r="I39"/>
  <c r="I41" s="1"/>
  <c r="H39"/>
  <c r="M33"/>
  <c r="K33"/>
  <c r="I33"/>
  <c r="M31"/>
  <c r="I31"/>
  <c r="N31" s="1"/>
  <c r="M29"/>
  <c r="K29"/>
  <c r="H28"/>
  <c r="H27"/>
  <c r="G25"/>
  <c r="F25"/>
  <c r="M23"/>
  <c r="G22"/>
  <c r="F22"/>
  <c r="F21"/>
  <c r="F20"/>
  <c r="Q17"/>
  <c r="A17"/>
  <c r="F15"/>
  <c r="G14"/>
  <c r="F14"/>
  <c r="K12"/>
  <c r="K10"/>
  <c r="K45" s="1"/>
  <c r="H10"/>
  <c r="K6"/>
  <c r="I4"/>
  <c r="F18" s="1"/>
  <c r="H4"/>
  <c r="F12" s="1"/>
  <c r="G19" i="19" l="1"/>
  <c r="G20" s="1"/>
  <c r="J33" i="59" s="1"/>
  <c r="K33" s="1"/>
  <c r="A24" i="31"/>
  <c r="F62"/>
  <c r="I59"/>
  <c r="F53"/>
  <c r="G62"/>
  <c r="F26"/>
  <c r="N33"/>
  <c r="N66"/>
  <c r="H64" i="40"/>
  <c r="H65" s="1"/>
  <c r="A56" i="31"/>
  <c r="A61" s="1"/>
  <c r="H62" i="40"/>
  <c r="I6" i="31"/>
  <c r="G10" s="1"/>
  <c r="G12"/>
  <c r="I22"/>
  <c r="I25"/>
  <c r="H41"/>
  <c r="G45"/>
  <c r="F47"/>
  <c r="G47" s="1"/>
  <c r="I57"/>
  <c r="H6"/>
  <c r="I12"/>
  <c r="Q20"/>
  <c r="I27"/>
  <c r="I49"/>
  <c r="K64"/>
  <c r="J16" i="20" l="1"/>
  <c r="K16" s="1"/>
  <c r="F10" i="31"/>
  <c r="I10" s="1"/>
  <c r="N10" s="1"/>
  <c r="N34" s="1"/>
  <c r="F45"/>
  <c r="I45" s="1"/>
  <c r="N45" s="1"/>
  <c r="N67" s="1"/>
  <c r="Q13"/>
  <c r="Q12"/>
  <c r="N12"/>
  <c r="S12" l="1"/>
  <c r="S13"/>
  <c r="K47"/>
  <c r="I47"/>
  <c r="F190" i="19"/>
  <c r="G190" s="1"/>
  <c r="G191" s="1"/>
  <c r="F291" s="1"/>
  <c r="G296"/>
  <c r="G264"/>
  <c r="F200"/>
  <c r="G200" s="1"/>
  <c r="G201" s="1"/>
  <c r="G272"/>
  <c r="G116"/>
  <c r="G98"/>
  <c r="G66"/>
  <c r="G67" s="1"/>
  <c r="G118"/>
  <c r="F83"/>
  <c r="G83" s="1"/>
  <c r="G84" s="1"/>
  <c r="G85" s="1"/>
  <c r="G307"/>
  <c r="G250"/>
  <c r="G251"/>
  <c r="G257"/>
  <c r="G279"/>
  <c r="G280"/>
  <c r="G284"/>
  <c r="F286" s="1"/>
  <c r="G286" s="1"/>
  <c r="G427" i="26"/>
  <c r="G430" s="1"/>
  <c r="G432" s="1"/>
  <c r="G40"/>
  <c r="G41" s="1"/>
  <c r="F210" i="19"/>
  <c r="G210" s="1"/>
  <c r="G211" s="1"/>
  <c r="G76" i="26"/>
  <c r="G77" s="1"/>
  <c r="G180" i="19"/>
  <c r="G181" s="1"/>
  <c r="G139" i="26"/>
  <c r="G145" s="1"/>
  <c r="G226"/>
  <c r="G234" s="1"/>
  <c r="G233"/>
  <c r="F108"/>
  <c r="G108" s="1"/>
  <c r="G159"/>
  <c r="G165" s="1"/>
  <c r="F65"/>
  <c r="G65" s="1"/>
  <c r="G66" s="1"/>
  <c r="G67" s="1"/>
  <c r="F119"/>
  <c r="G119" s="1"/>
  <c r="G149"/>
  <c r="G155" s="1"/>
  <c r="F214" s="1"/>
  <c r="G214" s="1"/>
  <c r="G21"/>
  <c r="F22" s="1"/>
  <c r="G22" s="1"/>
  <c r="G10"/>
  <c r="F11" s="1"/>
  <c r="G11" s="1"/>
  <c r="F86"/>
  <c r="G86" s="1"/>
  <c r="G91" s="1"/>
  <c r="G129"/>
  <c r="G135" s="1"/>
  <c r="G98"/>
  <c r="G99" s="1"/>
  <c r="G182"/>
  <c r="G192" s="1"/>
  <c r="G191"/>
  <c r="G301"/>
  <c r="G304" s="1"/>
  <c r="G306" s="1"/>
  <c r="G308" s="1"/>
  <c r="G309" s="1"/>
  <c r="G283"/>
  <c r="G286" s="1"/>
  <c r="G288" s="1"/>
  <c r="G241" i="19"/>
  <c r="E242" s="1"/>
  <c r="G242" s="1"/>
  <c r="G243" s="1"/>
  <c r="G213" i="26"/>
  <c r="F164"/>
  <c r="G164" s="1"/>
  <c r="F144"/>
  <c r="G144" s="1"/>
  <c r="G251"/>
  <c r="G169"/>
  <c r="G178" s="1"/>
  <c r="G221"/>
  <c r="G220"/>
  <c r="G242"/>
  <c r="F154"/>
  <c r="G154" s="1"/>
  <c r="G305"/>
  <c r="G261"/>
  <c r="G262" s="1"/>
  <c r="F134"/>
  <c r="G134" s="1"/>
  <c r="G198"/>
  <c r="G208" s="1"/>
  <c r="F500" s="1"/>
  <c r="G500" s="1"/>
  <c r="G337"/>
  <c r="G340" s="1"/>
  <c r="G409"/>
  <c r="G412" s="1"/>
  <c r="G319"/>
  <c r="G322" s="1"/>
  <c r="G373"/>
  <c r="G376" s="1"/>
  <c r="G355"/>
  <c r="G358" s="1"/>
  <c r="G391"/>
  <c r="G394" s="1"/>
  <c r="G396" s="1"/>
  <c r="F456"/>
  <c r="G456" s="1"/>
  <c r="F457"/>
  <c r="G457" s="1"/>
  <c r="G437"/>
  <c r="G449"/>
  <c r="G495"/>
  <c r="G122" i="25"/>
  <c r="E123" s="1"/>
  <c r="G21"/>
  <c r="E22" s="1"/>
  <c r="G22" s="1"/>
  <c r="G23" s="1"/>
  <c r="G24" s="1"/>
  <c r="I87"/>
  <c r="G87"/>
  <c r="E88" s="1"/>
  <c r="G568" i="26"/>
  <c r="I38" i="25"/>
  <c r="I39" s="1"/>
  <c r="I40" s="1"/>
  <c r="I41" s="1"/>
  <c r="G38"/>
  <c r="E39" s="1"/>
  <c r="G39" s="1"/>
  <c r="F507" i="26"/>
  <c r="E507"/>
  <c r="G55" i="25"/>
  <c r="E56" s="1"/>
  <c r="G56" s="1"/>
  <c r="G502" i="26"/>
  <c r="G105" i="25"/>
  <c r="E106" s="1"/>
  <c r="I105"/>
  <c r="I55"/>
  <c r="I56" s="1"/>
  <c r="G638" i="26"/>
  <c r="G639" s="1"/>
  <c r="G632"/>
  <c r="G633" s="1"/>
  <c r="G72" i="25"/>
  <c r="E73" s="1"/>
  <c r="G73" s="1"/>
  <c r="G74" s="1"/>
  <c r="G75" s="1"/>
  <c r="I72"/>
  <c r="I73" s="1"/>
  <c r="I74" s="1"/>
  <c r="I75" s="1"/>
  <c r="I122"/>
  <c r="G207" i="26"/>
  <c r="E517"/>
  <c r="E6" i="23"/>
  <c r="Q5"/>
  <c r="E7"/>
  <c r="Q6"/>
  <c r="E8"/>
  <c r="E10"/>
  <c r="Q9"/>
  <c r="E9"/>
  <c r="Q8"/>
  <c r="F189"/>
  <c r="F208" s="1"/>
  <c r="G195"/>
  <c r="E199"/>
  <c r="G306"/>
  <c r="Q193"/>
  <c r="Q192"/>
  <c r="E259"/>
  <c r="E268"/>
  <c r="E272"/>
  <c r="C272" s="1"/>
  <c r="U271"/>
  <c r="E269"/>
  <c r="C269" s="1"/>
  <c r="E288"/>
  <c r="E292"/>
  <c r="C292" s="1"/>
  <c r="U291"/>
  <c r="E291" s="1"/>
  <c r="C291" s="1"/>
  <c r="E289"/>
  <c r="C289" s="1"/>
  <c r="E336"/>
  <c r="C336" s="1"/>
  <c r="E335"/>
  <c r="E339"/>
  <c r="C339" s="1"/>
  <c r="U338"/>
  <c r="E377"/>
  <c r="C377" s="1"/>
  <c r="E376"/>
  <c r="E379"/>
  <c r="C379" s="1"/>
  <c r="E380"/>
  <c r="C380" s="1"/>
  <c r="U379"/>
  <c r="U399"/>
  <c r="E437"/>
  <c r="C437" s="1"/>
  <c r="E406"/>
  <c r="E417"/>
  <c r="C417" s="1"/>
  <c r="E416"/>
  <c r="E438"/>
  <c r="C438" s="1"/>
  <c r="E420"/>
  <c r="C420" s="1"/>
  <c r="U419"/>
  <c r="U440"/>
  <c r="E440" s="1"/>
  <c r="C440" s="1"/>
  <c r="F26" i="27"/>
  <c r="G26" s="1"/>
  <c r="M55"/>
  <c r="M60" s="1"/>
  <c r="G93"/>
  <c r="E10"/>
  <c r="E11"/>
  <c r="E55"/>
  <c r="F69"/>
  <c r="G69" s="1"/>
  <c r="E54"/>
  <c r="M94"/>
  <c r="M96"/>
  <c r="M97"/>
  <c r="E69"/>
  <c r="L88" i="20"/>
  <c r="E12" i="37"/>
  <c r="F12" s="1"/>
  <c r="E20"/>
  <c r="F20" s="1"/>
  <c r="E22"/>
  <c r="F22" s="1"/>
  <c r="E278" i="23" l="1"/>
  <c r="C268"/>
  <c r="E386"/>
  <c r="C376"/>
  <c r="E298"/>
  <c r="C288"/>
  <c r="E426"/>
  <c r="C416"/>
  <c r="E345"/>
  <c r="C335"/>
  <c r="J21" i="20"/>
  <c r="K21" s="1"/>
  <c r="K39" i="59"/>
  <c r="F509" i="26"/>
  <c r="G507"/>
  <c r="E407" i="23"/>
  <c r="G378" i="26"/>
  <c r="G380" s="1"/>
  <c r="G381" s="1"/>
  <c r="E377"/>
  <c r="E299" i="23"/>
  <c r="M298" s="1"/>
  <c r="E279"/>
  <c r="M278" s="1"/>
  <c r="F256" i="19"/>
  <c r="I88" i="25"/>
  <c r="I89" s="1"/>
  <c r="I90" s="1"/>
  <c r="G88"/>
  <c r="G89" s="1"/>
  <c r="G90" s="1"/>
  <c r="E341" i="26"/>
  <c r="G342"/>
  <c r="G344" s="1"/>
  <c r="G345" s="1"/>
  <c r="G414"/>
  <c r="F415" s="1"/>
  <c r="G415" s="1"/>
  <c r="E413"/>
  <c r="G413" s="1"/>
  <c r="E42"/>
  <c r="G42" s="1"/>
  <c r="G43" s="1"/>
  <c r="G44" s="1"/>
  <c r="I57" i="25"/>
  <c r="I58" s="1"/>
  <c r="E395" i="26"/>
  <c r="F285" i="19"/>
  <c r="G285" s="1"/>
  <c r="G287" s="1"/>
  <c r="F265"/>
  <c r="G265" s="1"/>
  <c r="F271" s="1"/>
  <c r="G273" s="1"/>
  <c r="I106" i="25"/>
  <c r="I107" s="1"/>
  <c r="I108" s="1"/>
  <c r="G106"/>
  <c r="G107" s="1"/>
  <c r="G108" s="1"/>
  <c r="I123"/>
  <c r="I124" s="1"/>
  <c r="I125" s="1"/>
  <c r="G123"/>
  <c r="G124" s="1"/>
  <c r="G125" s="1"/>
  <c r="G194" i="26"/>
  <c r="E193"/>
  <c r="G193" s="1"/>
  <c r="F92"/>
  <c r="G92" s="1"/>
  <c r="G93" s="1"/>
  <c r="G94" s="1"/>
  <c r="F23"/>
  <c r="G23" s="1"/>
  <c r="G24" s="1"/>
  <c r="E78"/>
  <c r="G78" s="1"/>
  <c r="G79" s="1"/>
  <c r="G80" s="1"/>
  <c r="E117" i="19"/>
  <c r="G117" s="1"/>
  <c r="G119" s="1"/>
  <c r="G120" s="1"/>
  <c r="G291"/>
  <c r="F302"/>
  <c r="G302" s="1"/>
  <c r="G398" i="26"/>
  <c r="G399" s="1"/>
  <c r="F397"/>
  <c r="G397" s="1"/>
  <c r="G360"/>
  <c r="E359"/>
  <c r="E323"/>
  <c r="G324"/>
  <c r="G290"/>
  <c r="G291" s="1"/>
  <c r="F289"/>
  <c r="G289" s="1"/>
  <c r="F247"/>
  <c r="G247" s="1"/>
  <c r="G252" s="1"/>
  <c r="F238"/>
  <c r="G238" s="1"/>
  <c r="G243" s="1"/>
  <c r="G434"/>
  <c r="G435" s="1"/>
  <c r="F433"/>
  <c r="G433" s="1"/>
  <c r="M103" i="27"/>
  <c r="K103" s="1"/>
  <c r="M102"/>
  <c r="E16" i="23"/>
  <c r="E17"/>
  <c r="Q48" i="31"/>
  <c r="Q47"/>
  <c r="E17" i="27"/>
  <c r="E427" i="23"/>
  <c r="E387"/>
  <c r="E346"/>
  <c r="G57" i="25"/>
  <c r="G58" s="1"/>
  <c r="G40"/>
  <c r="G41" s="1"/>
  <c r="F343" i="26"/>
  <c r="G343" s="1"/>
  <c r="E431"/>
  <c r="G431" s="1"/>
  <c r="F307"/>
  <c r="G307" s="1"/>
  <c r="F12"/>
  <c r="G12" s="1"/>
  <c r="G13" s="1"/>
  <c r="N47" i="31"/>
  <c r="F229" i="23"/>
  <c r="G208"/>
  <c r="G189"/>
  <c r="F37" i="37"/>
  <c r="F36"/>
  <c r="G258" i="19" l="1"/>
  <c r="F442" i="26" s="1"/>
  <c r="G256" i="19"/>
  <c r="F9" i="27"/>
  <c r="G9" s="1"/>
  <c r="F54" i="23"/>
  <c r="F72" s="1"/>
  <c r="F517" i="26"/>
  <c r="G517" s="1"/>
  <c r="G509"/>
  <c r="F379"/>
  <c r="G379" s="1"/>
  <c r="G416"/>
  <c r="G417" s="1"/>
  <c r="F21" i="27"/>
  <c r="G21" s="1"/>
  <c r="F64"/>
  <c r="G64" s="1"/>
  <c r="F8"/>
  <c r="G8" s="1"/>
  <c r="F94"/>
  <c r="F95" s="1"/>
  <c r="G95" s="1"/>
  <c r="F106"/>
  <c r="G106" s="1"/>
  <c r="F52"/>
  <c r="F53" s="1"/>
  <c r="G53" s="1"/>
  <c r="E14" i="26"/>
  <c r="G14" s="1"/>
  <c r="G15" s="1"/>
  <c r="G16" s="1"/>
  <c r="F98" i="27"/>
  <c r="G98" s="1"/>
  <c r="E25" i="26"/>
  <c r="G25" s="1"/>
  <c r="G26" s="1"/>
  <c r="G27" s="1"/>
  <c r="S47" i="31"/>
  <c r="S48"/>
  <c r="G326" i="26"/>
  <c r="G327" s="1"/>
  <c r="F325"/>
  <c r="G325" s="1"/>
  <c r="F306" i="19"/>
  <c r="G306" s="1"/>
  <c r="M16" i="27"/>
  <c r="K16" s="1"/>
  <c r="I16" s="1"/>
  <c r="G16" s="1"/>
  <c r="G17"/>
  <c r="K16" i="31"/>
  <c r="F6" i="23"/>
  <c r="G6" s="1"/>
  <c r="F7"/>
  <c r="G7" s="1"/>
  <c r="F438" i="26"/>
  <c r="F20" i="23"/>
  <c r="G20" s="1"/>
  <c r="F303"/>
  <c r="G303" s="1"/>
  <c r="G362" i="26"/>
  <c r="G363" s="1"/>
  <c r="F361"/>
  <c r="G361" s="1"/>
  <c r="F295" i="19"/>
  <c r="G295" s="1"/>
  <c r="G297" s="1"/>
  <c r="G298" s="1"/>
  <c r="G229" i="23"/>
  <c r="F248"/>
  <c r="F106" l="1"/>
  <c r="F56"/>
  <c r="F74" s="1"/>
  <c r="F92" s="1"/>
  <c r="G92" s="1"/>
  <c r="F304"/>
  <c r="F58"/>
  <c r="G58" s="1"/>
  <c r="F10"/>
  <c r="G10" s="1"/>
  <c r="F12" i="27"/>
  <c r="G12" s="1"/>
  <c r="F56"/>
  <c r="G56" s="1"/>
  <c r="F76" i="23"/>
  <c r="F90"/>
  <c r="G90" s="1"/>
  <c r="G72"/>
  <c r="G308" i="19"/>
  <c r="G94" i="27"/>
  <c r="G52"/>
  <c r="G56" i="23"/>
  <c r="F54" i="27"/>
  <c r="G54" s="1"/>
  <c r="F8" i="23"/>
  <c r="G8" s="1"/>
  <c r="F440" i="26"/>
  <c r="F22" i="27"/>
  <c r="G22" s="1"/>
  <c r="F107"/>
  <c r="G107" s="1"/>
  <c r="K23" i="31"/>
  <c r="F10" i="27"/>
  <c r="G10" s="1"/>
  <c r="F21" i="23"/>
  <c r="G21" s="1"/>
  <c r="F65" i="27"/>
  <c r="G65" s="1"/>
  <c r="F96"/>
  <c r="G96" s="1"/>
  <c r="G438" i="26"/>
  <c r="F452"/>
  <c r="G452" s="1"/>
  <c r="F496"/>
  <c r="F569"/>
  <c r="F439"/>
  <c r="G439" s="1"/>
  <c r="G442"/>
  <c r="F573"/>
  <c r="G573" s="1"/>
  <c r="F55" i="23"/>
  <c r="F161"/>
  <c r="F140" s="1"/>
  <c r="G140" s="1"/>
  <c r="G54"/>
  <c r="F268"/>
  <c r="G248"/>
  <c r="G74" l="1"/>
  <c r="F165"/>
  <c r="F144" s="1"/>
  <c r="G144" s="1"/>
  <c r="F94"/>
  <c r="G94" s="1"/>
  <c r="G76"/>
  <c r="G55"/>
  <c r="F73"/>
  <c r="G309" i="19"/>
  <c r="F441" i="26"/>
  <c r="G441" s="1"/>
  <c r="F9" i="23"/>
  <c r="G9" s="1"/>
  <c r="G12" s="1"/>
  <c r="E30" s="1"/>
  <c r="F66" i="27"/>
  <c r="G66" s="1"/>
  <c r="G70" s="1"/>
  <c r="F22" i="23"/>
  <c r="G22" s="1"/>
  <c r="G23" s="1"/>
  <c r="G27" s="1"/>
  <c r="F305"/>
  <c r="F193" s="1"/>
  <c r="F97" i="27"/>
  <c r="G97" s="1"/>
  <c r="G100" s="1"/>
  <c r="G104" s="1"/>
  <c r="E127" s="1"/>
  <c r="F108"/>
  <c r="G108" s="1"/>
  <c r="G109" s="1"/>
  <c r="F23"/>
  <c r="G23" s="1"/>
  <c r="G28" s="1"/>
  <c r="F11"/>
  <c r="G11" s="1"/>
  <c r="G14" s="1"/>
  <c r="G19" s="1"/>
  <c r="F55"/>
  <c r="G55" s="1"/>
  <c r="G58" s="1"/>
  <c r="G62" s="1"/>
  <c r="F194" i="23"/>
  <c r="F570" i="26"/>
  <c r="G569"/>
  <c r="G304" i="23"/>
  <c r="F192"/>
  <c r="K60" i="31"/>
  <c r="G161" i="23"/>
  <c r="F162"/>
  <c r="F141" s="1"/>
  <c r="G141" s="1"/>
  <c r="G496" i="26"/>
  <c r="F497"/>
  <c r="F163" i="23"/>
  <c r="G106"/>
  <c r="F571" i="26"/>
  <c r="F453"/>
  <c r="G440"/>
  <c r="F288" i="23"/>
  <c r="G268"/>
  <c r="G165" l="1"/>
  <c r="G163"/>
  <c r="F142"/>
  <c r="G142" s="1"/>
  <c r="F91"/>
  <c r="G73"/>
  <c r="F107"/>
  <c r="G107" s="1"/>
  <c r="F57"/>
  <c r="F454" i="26"/>
  <c r="F499" s="1"/>
  <c r="F572"/>
  <c r="G572" s="1"/>
  <c r="G305" i="23"/>
  <c r="G307" s="1"/>
  <c r="G308" s="1"/>
  <c r="J62" i="59" s="1"/>
  <c r="K62" s="1"/>
  <c r="F33" i="23"/>
  <c r="F35"/>
  <c r="F31"/>
  <c r="E45"/>
  <c r="E41"/>
  <c r="E44"/>
  <c r="E38"/>
  <c r="E32"/>
  <c r="E47"/>
  <c r="E34"/>
  <c r="E35"/>
  <c r="E46"/>
  <c r="E39"/>
  <c r="F44"/>
  <c r="E14"/>
  <c r="G14" s="1"/>
  <c r="G18" s="1"/>
  <c r="E42"/>
  <c r="E43"/>
  <c r="E40"/>
  <c r="E36"/>
  <c r="E37"/>
  <c r="E33"/>
  <c r="E31"/>
  <c r="F38"/>
  <c r="F42"/>
  <c r="F45"/>
  <c r="F47"/>
  <c r="F39"/>
  <c r="F40"/>
  <c r="F41"/>
  <c r="F46"/>
  <c r="F30"/>
  <c r="G30" s="1"/>
  <c r="F32"/>
  <c r="F36"/>
  <c r="F37"/>
  <c r="F43"/>
  <c r="F34"/>
  <c r="E117" i="27"/>
  <c r="E114"/>
  <c r="E118"/>
  <c r="E123"/>
  <c r="E115"/>
  <c r="E120"/>
  <c r="E121"/>
  <c r="E129"/>
  <c r="E113"/>
  <c r="E116"/>
  <c r="E125"/>
  <c r="E124"/>
  <c r="E119"/>
  <c r="E126"/>
  <c r="E112"/>
  <c r="G445" i="26"/>
  <c r="G450" s="1"/>
  <c r="E473" s="1"/>
  <c r="G473" s="1"/>
  <c r="E122" i="27"/>
  <c r="E128"/>
  <c r="F121"/>
  <c r="F115"/>
  <c r="F114"/>
  <c r="F123"/>
  <c r="F116"/>
  <c r="F122"/>
  <c r="F118"/>
  <c r="F120"/>
  <c r="F119"/>
  <c r="F127"/>
  <c r="G127" s="1"/>
  <c r="F117"/>
  <c r="F125"/>
  <c r="F113"/>
  <c r="F126"/>
  <c r="F129"/>
  <c r="F124"/>
  <c r="F128"/>
  <c r="F112"/>
  <c r="G453" i="26"/>
  <c r="F498"/>
  <c r="E86" i="27"/>
  <c r="E90"/>
  <c r="E87"/>
  <c r="E84"/>
  <c r="E80"/>
  <c r="E85"/>
  <c r="E74"/>
  <c r="E91"/>
  <c r="E83"/>
  <c r="E75"/>
  <c r="E88"/>
  <c r="E76"/>
  <c r="E79"/>
  <c r="E77"/>
  <c r="E81"/>
  <c r="E82"/>
  <c r="E78"/>
  <c r="E89"/>
  <c r="F90"/>
  <c r="F79"/>
  <c r="F87"/>
  <c r="F80"/>
  <c r="F78"/>
  <c r="F81"/>
  <c r="F91"/>
  <c r="F77"/>
  <c r="F75"/>
  <c r="F76"/>
  <c r="F84"/>
  <c r="F88"/>
  <c r="F74"/>
  <c r="F85"/>
  <c r="F82"/>
  <c r="F83"/>
  <c r="F86"/>
  <c r="F89"/>
  <c r="F584" i="26"/>
  <c r="G584" s="1"/>
  <c r="G571"/>
  <c r="G193" i="23"/>
  <c r="F212"/>
  <c r="T193"/>
  <c r="F512" i="26"/>
  <c r="G512" s="1"/>
  <c r="G497"/>
  <c r="F190" i="23"/>
  <c r="G162"/>
  <c r="F41" i="27"/>
  <c r="F34"/>
  <c r="F47"/>
  <c r="F32"/>
  <c r="F39"/>
  <c r="F44"/>
  <c r="F42"/>
  <c r="F48"/>
  <c r="F35"/>
  <c r="F38"/>
  <c r="F46"/>
  <c r="F49"/>
  <c r="F43"/>
  <c r="F45"/>
  <c r="F33"/>
  <c r="F37"/>
  <c r="F36"/>
  <c r="F211" i="23"/>
  <c r="G192"/>
  <c r="F213"/>
  <c r="G194"/>
  <c r="E35" i="27"/>
  <c r="E47"/>
  <c r="E38"/>
  <c r="E37"/>
  <c r="E49"/>
  <c r="E43"/>
  <c r="E45"/>
  <c r="E33"/>
  <c r="E48"/>
  <c r="E46"/>
  <c r="E41"/>
  <c r="E34"/>
  <c r="E40"/>
  <c r="G40" s="1"/>
  <c r="E32"/>
  <c r="E39"/>
  <c r="E44"/>
  <c r="E42"/>
  <c r="E36"/>
  <c r="G570" i="26"/>
  <c r="F583"/>
  <c r="G583" s="1"/>
  <c r="F335" i="23"/>
  <c r="F356" s="1"/>
  <c r="G356" s="1"/>
  <c r="G288"/>
  <c r="G91" l="1"/>
  <c r="F105"/>
  <c r="G105" s="1"/>
  <c r="G111" s="1"/>
  <c r="G112" s="1"/>
  <c r="J55" i="20" s="1"/>
  <c r="K55" s="1"/>
  <c r="J64"/>
  <c r="K64" s="1"/>
  <c r="J65"/>
  <c r="K65" s="1"/>
  <c r="G57" i="23"/>
  <c r="G60" s="1"/>
  <c r="F75"/>
  <c r="F164"/>
  <c r="G454" i="26"/>
  <c r="G459" s="1"/>
  <c r="G35" i="23"/>
  <c r="G32"/>
  <c r="E470" i="26"/>
  <c r="F585"/>
  <c r="G585" s="1"/>
  <c r="G586" s="1"/>
  <c r="G33" i="23"/>
  <c r="G31"/>
  <c r="G38"/>
  <c r="G44"/>
  <c r="G116" i="27"/>
  <c r="G112"/>
  <c r="G42" i="23"/>
  <c r="G47"/>
  <c r="G36"/>
  <c r="G41"/>
  <c r="G45"/>
  <c r="G43"/>
  <c r="G39"/>
  <c r="G46"/>
  <c r="G34"/>
  <c r="G37"/>
  <c r="G40"/>
  <c r="G119" i="27"/>
  <c r="G124"/>
  <c r="G123"/>
  <c r="G37"/>
  <c r="G114"/>
  <c r="G576" i="26"/>
  <c r="G578" s="1"/>
  <c r="G581" s="1"/>
  <c r="E599" s="1"/>
  <c r="G599" s="1"/>
  <c r="E596" s="1"/>
  <c r="G115" i="27"/>
  <c r="G38"/>
  <c r="G125"/>
  <c r="G82"/>
  <c r="G75"/>
  <c r="G128"/>
  <c r="G122"/>
  <c r="G113"/>
  <c r="G118"/>
  <c r="G129"/>
  <c r="G32"/>
  <c r="G120"/>
  <c r="G117"/>
  <c r="G121"/>
  <c r="G126"/>
  <c r="G34"/>
  <c r="G43"/>
  <c r="G44"/>
  <c r="G42"/>
  <c r="G45"/>
  <c r="G91"/>
  <c r="G90"/>
  <c r="G46"/>
  <c r="G49"/>
  <c r="G33"/>
  <c r="G47"/>
  <c r="G48"/>
  <c r="G36"/>
  <c r="G39"/>
  <c r="G84"/>
  <c r="F313" i="23"/>
  <c r="G313" s="1"/>
  <c r="F317"/>
  <c r="G317" s="1"/>
  <c r="F316"/>
  <c r="G316" s="1"/>
  <c r="F314"/>
  <c r="G314" s="1"/>
  <c r="F312"/>
  <c r="G312" s="1"/>
  <c r="F315"/>
  <c r="G315" s="1"/>
  <c r="F326"/>
  <c r="G326" s="1"/>
  <c r="F318"/>
  <c r="G318" s="1"/>
  <c r="F320"/>
  <c r="G320" s="1"/>
  <c r="F319"/>
  <c r="G319" s="1"/>
  <c r="F328"/>
  <c r="G328" s="1"/>
  <c r="F327"/>
  <c r="G327" s="1"/>
  <c r="F321"/>
  <c r="G321" s="1"/>
  <c r="F310"/>
  <c r="G310" s="1"/>
  <c r="F311"/>
  <c r="G311" s="1"/>
  <c r="F323"/>
  <c r="G323" s="1"/>
  <c r="F322"/>
  <c r="G322" s="1"/>
  <c r="F324"/>
  <c r="G324" s="1"/>
  <c r="F325"/>
  <c r="G325" s="1"/>
  <c r="F587" i="26"/>
  <c r="F234" i="23"/>
  <c r="G213"/>
  <c r="F232"/>
  <c r="G211"/>
  <c r="G41" i="27"/>
  <c r="G35"/>
  <c r="G78"/>
  <c r="G81"/>
  <c r="G79"/>
  <c r="G88"/>
  <c r="G83"/>
  <c r="G74"/>
  <c r="G80"/>
  <c r="G87"/>
  <c r="G86"/>
  <c r="F191" i="23"/>
  <c r="G191" s="1"/>
  <c r="F209"/>
  <c r="F233"/>
  <c r="G212"/>
  <c r="F514" i="26"/>
  <c r="G514" s="1"/>
  <c r="G499"/>
  <c r="F513"/>
  <c r="G513" s="1"/>
  <c r="G498"/>
  <c r="E476"/>
  <c r="E474"/>
  <c r="G474" s="1"/>
  <c r="G475" s="1"/>
  <c r="G89" i="27"/>
  <c r="G77"/>
  <c r="G76"/>
  <c r="G85"/>
  <c r="F376" i="23"/>
  <c r="G335"/>
  <c r="F119" l="1"/>
  <c r="F125"/>
  <c r="J55" i="59"/>
  <c r="K55" s="1"/>
  <c r="G64" i="23"/>
  <c r="J50" i="20" s="1"/>
  <c r="K50" s="1"/>
  <c r="F122" i="23"/>
  <c r="F129"/>
  <c r="F128"/>
  <c r="F123"/>
  <c r="F120"/>
  <c r="F115"/>
  <c r="F118"/>
  <c r="F116"/>
  <c r="F121"/>
  <c r="F132"/>
  <c r="F127"/>
  <c r="F131"/>
  <c r="F117"/>
  <c r="F126"/>
  <c r="F130"/>
  <c r="F124"/>
  <c r="G164"/>
  <c r="G167" s="1"/>
  <c r="G172" s="1"/>
  <c r="F143"/>
  <c r="G143" s="1"/>
  <c r="G146" s="1"/>
  <c r="G151" s="1"/>
  <c r="J58" i="20" s="1"/>
  <c r="K58" s="1"/>
  <c r="F93" i="23"/>
  <c r="G93" s="1"/>
  <c r="G96" s="1"/>
  <c r="G101" s="1"/>
  <c r="G75"/>
  <c r="G78" s="1"/>
  <c r="G82" s="1"/>
  <c r="E600" i="26"/>
  <c r="F230" i="23"/>
  <c r="G209"/>
  <c r="F210"/>
  <c r="G210" s="1"/>
  <c r="F476" i="26"/>
  <c r="G476" s="1"/>
  <c r="F467"/>
  <c r="F470"/>
  <c r="G470" s="1"/>
  <c r="F482"/>
  <c r="F485"/>
  <c r="F491"/>
  <c r="F461"/>
  <c r="F479"/>
  <c r="F464"/>
  <c r="F488"/>
  <c r="F251" i="23"/>
  <c r="G232"/>
  <c r="F253"/>
  <c r="G234"/>
  <c r="F596" i="26"/>
  <c r="G596" s="1"/>
  <c r="F600"/>
  <c r="F603"/>
  <c r="F624"/>
  <c r="F627"/>
  <c r="F612"/>
  <c r="F615"/>
  <c r="F618"/>
  <c r="F621"/>
  <c r="F590"/>
  <c r="F606"/>
  <c r="F609"/>
  <c r="F593"/>
  <c r="G503"/>
  <c r="G510" s="1"/>
  <c r="F252" i="23"/>
  <c r="G233"/>
  <c r="G518" i="26"/>
  <c r="F396" i="23"/>
  <c r="G376"/>
  <c r="E116" l="1"/>
  <c r="G116" s="1"/>
  <c r="J50" i="59"/>
  <c r="K50" s="1"/>
  <c r="J52" i="20"/>
  <c r="K52" s="1"/>
  <c r="J52" i="59"/>
  <c r="K52" s="1"/>
  <c r="J51" i="20"/>
  <c r="K51" s="1"/>
  <c r="J51" i="59"/>
  <c r="K51" s="1"/>
  <c r="E118" i="23"/>
  <c r="G118" s="1"/>
  <c r="E128"/>
  <c r="G128" s="1"/>
  <c r="E120"/>
  <c r="G120" s="1"/>
  <c r="E122"/>
  <c r="G122" s="1"/>
  <c r="E119"/>
  <c r="G119" s="1"/>
  <c r="E132"/>
  <c r="G132" s="1"/>
  <c r="E117"/>
  <c r="G117" s="1"/>
  <c r="E115"/>
  <c r="G115" s="1"/>
  <c r="E131"/>
  <c r="G131" s="1"/>
  <c r="E123"/>
  <c r="G123" s="1"/>
  <c r="E126"/>
  <c r="G126" s="1"/>
  <c r="E130"/>
  <c r="G130" s="1"/>
  <c r="E129"/>
  <c r="G129" s="1"/>
  <c r="E125"/>
  <c r="G125" s="1"/>
  <c r="E124"/>
  <c r="G124" s="1"/>
  <c r="E127"/>
  <c r="G127" s="1"/>
  <c r="E121"/>
  <c r="G121" s="1"/>
  <c r="J59" i="20"/>
  <c r="K59" s="1"/>
  <c r="J60"/>
  <c r="K60" s="1"/>
  <c r="G215" i="23"/>
  <c r="G220" s="1"/>
  <c r="G600" i="26"/>
  <c r="E603" s="1"/>
  <c r="G603" s="1"/>
  <c r="E477"/>
  <c r="G477" s="1"/>
  <c r="G478" s="1"/>
  <c r="E479"/>
  <c r="G479" s="1"/>
  <c r="F543"/>
  <c r="F546"/>
  <c r="F549"/>
  <c r="F552"/>
  <c r="F555"/>
  <c r="F520"/>
  <c r="F531"/>
  <c r="F561"/>
  <c r="F564"/>
  <c r="F537"/>
  <c r="F534"/>
  <c r="F524"/>
  <c r="F528"/>
  <c r="F558"/>
  <c r="E540"/>
  <c r="G540" s="1"/>
  <c r="E537"/>
  <c r="F249" i="23"/>
  <c r="F231"/>
  <c r="G231" s="1"/>
  <c r="G230"/>
  <c r="G252"/>
  <c r="F272"/>
  <c r="E597" i="26"/>
  <c r="G597" s="1"/>
  <c r="G598" s="1"/>
  <c r="E593"/>
  <c r="G593" s="1"/>
  <c r="F273" i="23"/>
  <c r="G253"/>
  <c r="G251"/>
  <c r="F271"/>
  <c r="E467" i="26"/>
  <c r="G467" s="1"/>
  <c r="E471"/>
  <c r="G471" s="1"/>
  <c r="G472" s="1"/>
  <c r="G396" i="23"/>
  <c r="F416"/>
  <c r="P78" i="59" l="1"/>
  <c r="E601" i="26"/>
  <c r="G601" s="1"/>
  <c r="G602" s="1"/>
  <c r="G537"/>
  <c r="E538" s="1"/>
  <c r="G538" s="1"/>
  <c r="E604"/>
  <c r="G604" s="1"/>
  <c r="G605" s="1"/>
  <c r="E606"/>
  <c r="G606" s="1"/>
  <c r="E468"/>
  <c r="G468" s="1"/>
  <c r="G469" s="1"/>
  <c r="E464"/>
  <c r="G464" s="1"/>
  <c r="F293" i="23"/>
  <c r="G273"/>
  <c r="E590" i="26"/>
  <c r="G590" s="1"/>
  <c r="E594"/>
  <c r="G594" s="1"/>
  <c r="G595" s="1"/>
  <c r="G272" i="23"/>
  <c r="F292"/>
  <c r="G249"/>
  <c r="F269"/>
  <c r="F250"/>
  <c r="G250" s="1"/>
  <c r="G236"/>
  <c r="G271"/>
  <c r="F291"/>
  <c r="E541" i="26"/>
  <c r="G541" s="1"/>
  <c r="G542"/>
  <c r="E543"/>
  <c r="G543" s="1"/>
  <c r="E482"/>
  <c r="G482" s="1"/>
  <c r="E480"/>
  <c r="G480" s="1"/>
  <c r="G481" s="1"/>
  <c r="G416" i="23"/>
  <c r="F437"/>
  <c r="G437" s="1"/>
  <c r="G241" l="1"/>
  <c r="J59" i="59" s="1"/>
  <c r="K59" s="1"/>
  <c r="G539" i="26"/>
  <c r="E534"/>
  <c r="G534" s="1"/>
  <c r="E535" s="1"/>
  <c r="G535" s="1"/>
  <c r="F338" i="23"/>
  <c r="F359" s="1"/>
  <c r="G359" s="1"/>
  <c r="G291"/>
  <c r="E485" i="26"/>
  <c r="G485" s="1"/>
  <c r="E483"/>
  <c r="G483" s="1"/>
  <c r="G484" s="1"/>
  <c r="F270" i="23"/>
  <c r="G270" s="1"/>
  <c r="G269"/>
  <c r="F289"/>
  <c r="F339"/>
  <c r="F360" s="1"/>
  <c r="G360" s="1"/>
  <c r="G292"/>
  <c r="E465" i="26"/>
  <c r="G465" s="1"/>
  <c r="G466" s="1"/>
  <c r="E461"/>
  <c r="G461" s="1"/>
  <c r="E609"/>
  <c r="G609" s="1"/>
  <c r="E607"/>
  <c r="G607" s="1"/>
  <c r="G608" s="1"/>
  <c r="G255" i="23"/>
  <c r="G260" s="1"/>
  <c r="E544" i="26"/>
  <c r="G544" s="1"/>
  <c r="E546"/>
  <c r="G546" s="1"/>
  <c r="G545"/>
  <c r="E587"/>
  <c r="G587" s="1"/>
  <c r="E591"/>
  <c r="G591" s="1"/>
  <c r="G592" s="1"/>
  <c r="F340" i="23"/>
  <c r="F361" s="1"/>
  <c r="G361" s="1"/>
  <c r="G293"/>
  <c r="K78" i="59" l="1"/>
  <c r="K79" s="1"/>
  <c r="J61" i="20"/>
  <c r="K61" s="1"/>
  <c r="G536" i="26"/>
  <c r="E531"/>
  <c r="G531" s="1"/>
  <c r="E532" s="1"/>
  <c r="G532" s="1"/>
  <c r="F381" i="23"/>
  <c r="G340"/>
  <c r="E462" i="26"/>
  <c r="G462" s="1"/>
  <c r="G463" s="1"/>
  <c r="F336" i="23"/>
  <c r="F357" s="1"/>
  <c r="G357" s="1"/>
  <c r="F290"/>
  <c r="G290" s="1"/>
  <c r="G289"/>
  <c r="E588" i="26"/>
  <c r="G588" s="1"/>
  <c r="G589" s="1"/>
  <c r="E547"/>
  <c r="G547" s="1"/>
  <c r="E549"/>
  <c r="G549" s="1"/>
  <c r="G548"/>
  <c r="E610"/>
  <c r="G610" s="1"/>
  <c r="G611" s="1"/>
  <c r="E612"/>
  <c r="G612" s="1"/>
  <c r="F380" i="23"/>
  <c r="G339"/>
  <c r="E486" i="26"/>
  <c r="G486" s="1"/>
  <c r="G487" s="1"/>
  <c r="E488"/>
  <c r="G488" s="1"/>
  <c r="F379" i="23"/>
  <c r="G338"/>
  <c r="G275"/>
  <c r="G280" s="1"/>
  <c r="K80" i="59" l="1"/>
  <c r="K85" s="1"/>
  <c r="K86" s="1"/>
  <c r="K87" s="1"/>
  <c r="O2" s="1"/>
  <c r="G533" i="26"/>
  <c r="E528"/>
  <c r="G528" s="1"/>
  <c r="E524" s="1"/>
  <c r="G524" s="1"/>
  <c r="E491"/>
  <c r="G491" s="1"/>
  <c r="E492" s="1"/>
  <c r="G492" s="1"/>
  <c r="G493" s="1"/>
  <c r="E489"/>
  <c r="G489" s="1"/>
  <c r="G490" s="1"/>
  <c r="E613"/>
  <c r="G613" s="1"/>
  <c r="G614" s="1"/>
  <c r="E615"/>
  <c r="G615" s="1"/>
  <c r="F399" i="23"/>
  <c r="G379"/>
  <c r="G380"/>
  <c r="F400"/>
  <c r="E552" i="26"/>
  <c r="G552" s="1"/>
  <c r="E550"/>
  <c r="G550" s="1"/>
  <c r="G551"/>
  <c r="F337" i="23"/>
  <c r="F358" s="1"/>
  <c r="G358" s="1"/>
  <c r="G363" s="1"/>
  <c r="G336"/>
  <c r="G381"/>
  <c r="F401"/>
  <c r="G295"/>
  <c r="G300" s="1"/>
  <c r="G368" l="1"/>
  <c r="J68" i="20" s="1"/>
  <c r="K68" s="1"/>
  <c r="G530" i="26"/>
  <c r="E529"/>
  <c r="G529" s="1"/>
  <c r="G526"/>
  <c r="E525"/>
  <c r="G525" s="1"/>
  <c r="E520"/>
  <c r="G520" s="1"/>
  <c r="G399" i="23"/>
  <c r="F419"/>
  <c r="G401"/>
  <c r="F421"/>
  <c r="E555" i="26"/>
  <c r="G555" s="1"/>
  <c r="G554"/>
  <c r="E553"/>
  <c r="G553" s="1"/>
  <c r="F420" i="23"/>
  <c r="G400"/>
  <c r="E618" i="26"/>
  <c r="G618" s="1"/>
  <c r="E616"/>
  <c r="G616" s="1"/>
  <c r="G617" s="1"/>
  <c r="F377" i="23"/>
  <c r="G337"/>
  <c r="G342" s="1"/>
  <c r="G347" s="1"/>
  <c r="J69" i="20" s="1"/>
  <c r="K69" s="1"/>
  <c r="F397" i="23" l="1"/>
  <c r="G377"/>
  <c r="F378"/>
  <c r="G378" s="1"/>
  <c r="E556" i="26"/>
  <c r="G556" s="1"/>
  <c r="E558"/>
  <c r="G558" s="1"/>
  <c r="G557"/>
  <c r="E619"/>
  <c r="G619" s="1"/>
  <c r="G620" s="1"/>
  <c r="E621"/>
  <c r="G621" s="1"/>
  <c r="G420" i="23"/>
  <c r="F441"/>
  <c r="F453" s="1"/>
  <c r="G421"/>
  <c r="F442"/>
  <c r="G419"/>
  <c r="F440"/>
  <c r="E521" i="26"/>
  <c r="G521" s="1"/>
  <c r="G522"/>
  <c r="G383" i="23" l="1"/>
  <c r="G388" s="1"/>
  <c r="J70" i="20" s="1"/>
  <c r="K70" s="1"/>
  <c r="G440" i="23"/>
  <c r="F452"/>
  <c r="F462"/>
  <c r="G462" s="1"/>
  <c r="G453"/>
  <c r="E624" i="26"/>
  <c r="G624" s="1"/>
  <c r="E622"/>
  <c r="G622" s="1"/>
  <c r="G623" s="1"/>
  <c r="E561"/>
  <c r="G561" s="1"/>
  <c r="G560"/>
  <c r="E559"/>
  <c r="G559" s="1"/>
  <c r="F417" i="23"/>
  <c r="F398"/>
  <c r="G398" s="1"/>
  <c r="G397"/>
  <c r="G403" l="1"/>
  <c r="G408" s="1"/>
  <c r="F438"/>
  <c r="F418"/>
  <c r="G418" s="1"/>
  <c r="G417"/>
  <c r="G563" i="26"/>
  <c r="E562"/>
  <c r="G562" s="1"/>
  <c r="E564"/>
  <c r="G564" s="1"/>
  <c r="E627"/>
  <c r="G627" s="1"/>
  <c r="E628" s="1"/>
  <c r="G628" s="1"/>
  <c r="G629" s="1"/>
  <c r="E625"/>
  <c r="G625" s="1"/>
  <c r="G626" s="1"/>
  <c r="F461" i="23"/>
  <c r="G461" s="1"/>
  <c r="G452"/>
  <c r="G566" i="26" l="1"/>
  <c r="E565"/>
  <c r="G565" s="1"/>
  <c r="F439" i="23"/>
  <c r="G438"/>
  <c r="F451" l="1"/>
  <c r="G439"/>
  <c r="F460" l="1"/>
  <c r="G460" s="1"/>
  <c r="G465" s="1"/>
  <c r="G451"/>
  <c r="G456" s="1"/>
  <c r="G466" l="1"/>
  <c r="J77" i="20" s="1"/>
  <c r="K77" s="1"/>
  <c r="G457" i="23"/>
  <c r="J74" i="20" s="1"/>
  <c r="K74" s="1"/>
  <c r="U441" i="23"/>
  <c r="E441" s="1"/>
  <c r="C441" s="1"/>
  <c r="U442"/>
  <c r="E442" s="1"/>
  <c r="F422"/>
  <c r="G422" s="1"/>
  <c r="G423" s="1"/>
  <c r="G428" s="1"/>
  <c r="H58" i="31"/>
  <c r="I58" s="1"/>
  <c r="I60" s="1"/>
  <c r="O190" i="23"/>
  <c r="E200"/>
  <c r="G50" i="31"/>
  <c r="I50" s="1"/>
  <c r="I51" s="1"/>
  <c r="H50"/>
  <c r="I62"/>
  <c r="I64" s="1"/>
  <c r="I63"/>
  <c r="M447" i="23"/>
  <c r="K447"/>
  <c r="H14" i="31"/>
  <c r="H15" s="1"/>
  <c r="G15"/>
  <c r="F19"/>
  <c r="G26"/>
  <c r="I26" s="1"/>
  <c r="I29" s="1"/>
  <c r="I28"/>
  <c r="A6" i="33"/>
  <c r="A7" s="1"/>
  <c r="A8" s="1"/>
  <c r="A9" s="1"/>
  <c r="A10" s="1"/>
  <c r="A11" s="1"/>
  <c r="A12" s="1"/>
  <c r="A13" s="1"/>
  <c r="D6"/>
  <c r="D7" s="1"/>
  <c r="D8" s="1"/>
  <c r="D9" s="1"/>
  <c r="D10" s="1"/>
  <c r="D11" s="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B25" i="42"/>
  <c r="D25"/>
  <c r="G25" s="1"/>
  <c r="G26" s="1"/>
  <c r="H31" s="1"/>
  <c r="L31" s="1"/>
  <c r="L35" s="1"/>
  <c r="L37" s="1"/>
  <c r="J6" i="33"/>
  <c r="J7" s="1"/>
  <c r="J8" s="1"/>
  <c r="J9" s="1"/>
  <c r="J10" s="1"/>
  <c r="J11" s="1"/>
  <c r="J12" s="1"/>
  <c r="J13" s="1"/>
  <c r="J14" s="1"/>
  <c r="J15" s="1"/>
  <c r="J16" s="1"/>
  <c r="J17" s="1"/>
  <c r="J18" s="1"/>
  <c r="J19" s="1"/>
  <c r="J20" s="1"/>
  <c r="J21" s="1"/>
  <c r="J22" s="1"/>
  <c r="J23" s="1"/>
  <c r="J24" s="1"/>
  <c r="J25" s="1"/>
  <c r="J26" s="1"/>
  <c r="J27" s="1"/>
  <c r="J28" s="1"/>
  <c r="J29" s="1"/>
  <c r="J30" s="1"/>
  <c r="J31" s="1"/>
  <c r="J32" s="1"/>
  <c r="J33" s="1"/>
  <c r="J34" s="1"/>
  <c r="J35" s="1"/>
  <c r="J36" s="1"/>
  <c r="J37" s="1"/>
  <c r="J38" s="1"/>
  <c r="J39" s="1"/>
  <c r="J40" s="1"/>
  <c r="J41" s="1"/>
  <c r="J42" s="1"/>
  <c r="J43" s="1"/>
  <c r="J44" s="1"/>
  <c r="J45" s="1"/>
  <c r="J46" s="1"/>
  <c r="J47" s="1"/>
  <c r="J48" s="1"/>
  <c r="J49" s="1"/>
  <c r="J50" s="1"/>
  <c r="J51" s="1"/>
  <c r="J52" s="1"/>
  <c r="J53" s="1"/>
  <c r="J54" s="1"/>
  <c r="J55" s="1"/>
  <c r="J56" s="1"/>
  <c r="J57" s="1"/>
  <c r="J58" s="1"/>
  <c r="J59" s="1"/>
  <c r="J60" s="1"/>
  <c r="J61" s="1"/>
  <c r="J62" s="1"/>
  <c r="J63" s="1"/>
  <c r="J64" s="1"/>
  <c r="J65" s="1"/>
  <c r="J66" s="1"/>
  <c r="J67" s="1"/>
  <c r="J68" s="1"/>
  <c r="J69" s="1"/>
  <c r="J70" s="1"/>
  <c r="J71" s="1"/>
  <c r="J72" s="1"/>
  <c r="J73" s="1"/>
  <c r="J74" s="1"/>
  <c r="J75" s="1"/>
  <c r="J76" s="1"/>
  <c r="J77" s="1"/>
  <c r="J78" s="1"/>
  <c r="J79" s="1"/>
  <c r="J80" s="1"/>
  <c r="J81" s="1"/>
  <c r="J82" s="1"/>
  <c r="J83" s="1"/>
  <c r="J84" s="1"/>
  <c r="J85" s="1"/>
  <c r="J86" s="1"/>
  <c r="J87" s="1"/>
  <c r="J88" s="1"/>
  <c r="J89" s="1"/>
  <c r="J90" s="1"/>
  <c r="J91" s="1"/>
  <c r="J92" s="1"/>
  <c r="J93" s="1"/>
  <c r="J94" s="1"/>
  <c r="J95" s="1"/>
  <c r="J96" s="1"/>
  <c r="J97" s="1"/>
  <c r="J98" s="1"/>
  <c r="J99" s="1"/>
  <c r="J100" s="1"/>
  <c r="J101" s="1"/>
  <c r="J102" s="1"/>
  <c r="J103" s="1"/>
  <c r="J104" s="1"/>
  <c r="J105" s="1"/>
  <c r="J106" s="1"/>
  <c r="J107" s="1"/>
  <c r="J108" s="1"/>
  <c r="J109" s="1"/>
  <c r="J110" s="1"/>
  <c r="J111" s="1"/>
  <c r="J112" s="1"/>
  <c r="J113" s="1"/>
  <c r="J114" s="1"/>
  <c r="J115" s="1"/>
  <c r="J116" s="1"/>
  <c r="J117" s="1"/>
  <c r="J118" s="1"/>
  <c r="J119" s="1"/>
  <c r="J120" s="1"/>
  <c r="J121" s="1"/>
  <c r="J122" s="1"/>
  <c r="J123" s="1"/>
  <c r="J124" s="1"/>
  <c r="J125" s="1"/>
  <c r="J126" s="1"/>
  <c r="J127" s="1"/>
  <c r="J128" s="1"/>
  <c r="J129" s="1"/>
  <c r="J130" s="1"/>
  <c r="J131" s="1"/>
  <c r="J132" s="1"/>
  <c r="J133" s="1"/>
  <c r="J134" s="1"/>
  <c r="J135" s="1"/>
  <c r="J136" s="1"/>
  <c r="J137" s="1"/>
  <c r="J138" s="1"/>
  <c r="J139" s="1"/>
  <c r="J140" s="1"/>
  <c r="J141" s="1"/>
  <c r="J142" s="1"/>
  <c r="J143" s="1"/>
  <c r="J144" s="1"/>
  <c r="J145" s="1"/>
  <c r="J146" s="1"/>
  <c r="J147" s="1"/>
  <c r="J148" s="1"/>
  <c r="J149" s="1"/>
  <c r="J150" s="1"/>
  <c r="J151" s="1"/>
  <c r="J152" s="1"/>
  <c r="J153" s="1"/>
  <c r="J154" s="1"/>
  <c r="J155" s="1"/>
  <c r="J156" s="1"/>
  <c r="J157" s="1"/>
  <c r="J158" s="1"/>
  <c r="J159" s="1"/>
  <c r="J160" s="1"/>
  <c r="J161" s="1"/>
  <c r="J162" s="1"/>
  <c r="J163" s="1"/>
  <c r="J164" s="1"/>
  <c r="J165" s="1"/>
  <c r="J166" s="1"/>
  <c r="J167" s="1"/>
  <c r="J168" s="1"/>
  <c r="J169" s="1"/>
  <c r="J170" s="1"/>
  <c r="J171" s="1"/>
  <c r="J172" s="1"/>
  <c r="J173" s="1"/>
  <c r="J174" s="1"/>
  <c r="J175" s="1"/>
  <c r="J176" s="1"/>
  <c r="J177" s="1"/>
  <c r="J178" s="1"/>
  <c r="J179" s="1"/>
  <c r="J180" s="1"/>
  <c r="J181" s="1"/>
  <c r="J182" s="1"/>
  <c r="J183" s="1"/>
  <c r="J184" s="1"/>
  <c r="J185" s="1"/>
  <c r="J186" s="1"/>
  <c r="J187" s="1"/>
  <c r="J188" s="1"/>
  <c r="J189" s="1"/>
  <c r="J190" s="1"/>
  <c r="J191" s="1"/>
  <c r="J192" s="1"/>
  <c r="J193" s="1"/>
  <c r="J194" s="1"/>
  <c r="J195" s="1"/>
  <c r="J196" s="1"/>
  <c r="J197" s="1"/>
  <c r="J198" s="1"/>
  <c r="J199" s="1"/>
  <c r="J200" s="1"/>
  <c r="J201" s="1"/>
  <c r="J202" s="1"/>
  <c r="J203" s="1"/>
  <c r="J204" s="1"/>
  <c r="J205" s="1"/>
  <c r="J206" s="1"/>
  <c r="J207" s="1"/>
  <c r="J208" s="1"/>
  <c r="J209" s="1"/>
  <c r="J210" s="1"/>
  <c r="J211" s="1"/>
  <c r="J212" s="1"/>
  <c r="J213" s="1"/>
  <c r="J214" s="1"/>
  <c r="J215" s="1"/>
  <c r="J216" s="1"/>
  <c r="J217" s="1"/>
  <c r="J218" s="1"/>
  <c r="J219" s="1"/>
  <c r="J220" s="1"/>
  <c r="J221" s="1"/>
  <c r="J222" s="1"/>
  <c r="J223" s="1"/>
  <c r="J224" s="1"/>
  <c r="J225" s="1"/>
  <c r="J226" s="1"/>
  <c r="J227" s="1"/>
  <c r="J228" s="1"/>
  <c r="J229" s="1"/>
  <c r="J230" s="1"/>
  <c r="J231" s="1"/>
  <c r="J232" s="1"/>
  <c r="J233" s="1"/>
  <c r="J234" s="1"/>
  <c r="J235" s="1"/>
  <c r="J236" s="1"/>
  <c r="J237" s="1"/>
  <c r="J238" s="1"/>
  <c r="J239" s="1"/>
  <c r="J240" s="1"/>
  <c r="J241" s="1"/>
  <c r="J242" s="1"/>
  <c r="J243" s="1"/>
  <c r="J244" s="1"/>
  <c r="J245" s="1"/>
  <c r="J246" s="1"/>
  <c r="J247" s="1"/>
  <c r="J248" s="1"/>
  <c r="J249" s="1"/>
  <c r="J250" s="1"/>
  <c r="J251" s="1"/>
  <c r="J252" s="1"/>
  <c r="J253" s="1"/>
  <c r="J254" s="1"/>
  <c r="J255" s="1"/>
  <c r="J256" s="1"/>
  <c r="J257" s="1"/>
  <c r="J258" s="1"/>
  <c r="J259" s="1"/>
  <c r="J260" s="1"/>
  <c r="J261" s="1"/>
  <c r="J262" s="1"/>
  <c r="J263" s="1"/>
  <c r="J264" s="1"/>
  <c r="J265" s="1"/>
  <c r="J266" s="1"/>
  <c r="J267" s="1"/>
  <c r="J268" s="1"/>
  <c r="J269" s="1"/>
  <c r="J270" s="1"/>
  <c r="J271" s="1"/>
  <c r="J272" s="1"/>
  <c r="J273" s="1"/>
  <c r="J274" s="1"/>
  <c r="J275" s="1"/>
  <c r="J276" s="1"/>
  <c r="J277" s="1"/>
  <c r="J278" s="1"/>
  <c r="J279" s="1"/>
  <c r="J280" s="1"/>
  <c r="J281" s="1"/>
  <c r="J282" s="1"/>
  <c r="J283" s="1"/>
  <c r="J284" s="1"/>
  <c r="J285" s="1"/>
  <c r="J286" s="1"/>
  <c r="J287" s="1"/>
  <c r="J288" s="1"/>
  <c r="J289" s="1"/>
  <c r="J290" s="1"/>
  <c r="J291" s="1"/>
  <c r="J292" s="1"/>
  <c r="J293" s="1"/>
  <c r="J294" s="1"/>
  <c r="J295" s="1"/>
  <c r="J296" s="1"/>
  <c r="J297" s="1"/>
  <c r="J298" s="1"/>
  <c r="J299" s="1"/>
  <c r="J300" s="1"/>
  <c r="J301" s="1"/>
  <c r="J302" s="1"/>
  <c r="J303" s="1"/>
  <c r="G164" i="19"/>
  <c r="G165" s="1"/>
  <c r="A30" i="31"/>
  <c r="A65"/>
  <c r="I53"/>
  <c r="F54"/>
  <c r="I54" s="1"/>
  <c r="H54"/>
  <c r="B25" i="40"/>
  <c r="D25" s="1"/>
  <c r="G25" s="1"/>
  <c r="G26" s="1"/>
  <c r="H31" s="1"/>
  <c r="M31" s="1"/>
  <c r="A32" i="31"/>
  <c r="M17" i="40"/>
  <c r="M20" s="1"/>
  <c r="M39"/>
  <c r="K15" i="19"/>
  <c r="M15" s="1"/>
  <c r="M19" s="1"/>
  <c r="M20" s="1"/>
  <c r="M21" s="1"/>
  <c r="F138"/>
  <c r="G138" s="1"/>
  <c r="G139"/>
  <c r="P190" i="23"/>
  <c r="Q190" s="1"/>
  <c r="U421"/>
  <c r="C5" i="20"/>
  <c r="F5" s="1"/>
  <c r="F476" i="23"/>
  <c r="E476"/>
  <c r="D6" i="16"/>
  <c r="D7" s="1"/>
  <c r="D8" s="1"/>
  <c r="D9" s="1"/>
  <c r="D10" s="1"/>
  <c r="D11" s="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A6"/>
  <c r="A7"/>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J6"/>
  <c r="J7" s="1"/>
  <c r="J8" s="1"/>
  <c r="J9" s="1"/>
  <c r="J10" s="1"/>
  <c r="J11" s="1"/>
  <c r="J12" s="1"/>
  <c r="J13" s="1"/>
  <c r="J14" s="1"/>
  <c r="J15" s="1"/>
  <c r="J16" s="1"/>
  <c r="J17" s="1"/>
  <c r="J18" s="1"/>
  <c r="J19" s="1"/>
  <c r="J20" s="1"/>
  <c r="J21" s="1"/>
  <c r="J22" s="1"/>
  <c r="J23" s="1"/>
  <c r="J24" s="1"/>
  <c r="J25" s="1"/>
  <c r="J26" s="1"/>
  <c r="J27" s="1"/>
  <c r="J28" s="1"/>
  <c r="J29" s="1"/>
  <c r="J30" s="1"/>
  <c r="J31" s="1"/>
  <c r="J32" s="1"/>
  <c r="J33" s="1"/>
  <c r="J34" s="1"/>
  <c r="J35" s="1"/>
  <c r="J36" s="1"/>
  <c r="J37" s="1"/>
  <c r="J38" s="1"/>
  <c r="J39" s="1"/>
  <c r="J40" s="1"/>
  <c r="J41" s="1"/>
  <c r="J42" s="1"/>
  <c r="J43" s="1"/>
  <c r="J44" s="1"/>
  <c r="J45" s="1"/>
  <c r="J46" s="1"/>
  <c r="J47" s="1"/>
  <c r="J48" s="1"/>
  <c r="J49" s="1"/>
  <c r="J50" s="1"/>
  <c r="J51" s="1"/>
  <c r="J52" s="1"/>
  <c r="J53" s="1"/>
  <c r="J54" s="1"/>
  <c r="J55" s="1"/>
  <c r="J56" s="1"/>
  <c r="J57" s="1"/>
  <c r="J58" s="1"/>
  <c r="J59" s="1"/>
  <c r="J60" s="1"/>
  <c r="J61" s="1"/>
  <c r="J62" s="1"/>
  <c r="J63" s="1"/>
  <c r="J64" s="1"/>
  <c r="J65" s="1"/>
  <c r="J66" s="1"/>
  <c r="J67" s="1"/>
  <c r="J68" s="1"/>
  <c r="J69" s="1"/>
  <c r="J70" s="1"/>
  <c r="J71" s="1"/>
  <c r="J72" s="1"/>
  <c r="J73" s="1"/>
  <c r="J74" s="1"/>
  <c r="J75" s="1"/>
  <c r="J76" s="1"/>
  <c r="J77" s="1"/>
  <c r="J78" s="1"/>
  <c r="J79" s="1"/>
  <c r="J80" s="1"/>
  <c r="J81" s="1"/>
  <c r="J82" s="1"/>
  <c r="J83" s="1"/>
  <c r="J84" s="1"/>
  <c r="J85" s="1"/>
  <c r="J86" s="1"/>
  <c r="J87" s="1"/>
  <c r="J88" s="1"/>
  <c r="J89" s="1"/>
  <c r="J90" s="1"/>
  <c r="J91" s="1"/>
  <c r="J92" s="1"/>
  <c r="J93" s="1"/>
  <c r="J94" s="1"/>
  <c r="J95" s="1"/>
  <c r="J96" s="1"/>
  <c r="J97" s="1"/>
  <c r="J98" s="1"/>
  <c r="J99" s="1"/>
  <c r="J100" s="1"/>
  <c r="J101" s="1"/>
  <c r="J102" s="1"/>
  <c r="J103" s="1"/>
  <c r="J104" s="1"/>
  <c r="J105" s="1"/>
  <c r="J106" s="1"/>
  <c r="J107" s="1"/>
  <c r="J108" s="1"/>
  <c r="J109" s="1"/>
  <c r="J110" s="1"/>
  <c r="J111" s="1"/>
  <c r="J112" s="1"/>
  <c r="J113" s="1"/>
  <c r="J114" s="1"/>
  <c r="J115" s="1"/>
  <c r="J116" s="1"/>
  <c r="J117" s="1"/>
  <c r="J118" s="1"/>
  <c r="J119" s="1"/>
  <c r="J120" s="1"/>
  <c r="J121" s="1"/>
  <c r="J122" s="1"/>
  <c r="J123" s="1"/>
  <c r="J124" s="1"/>
  <c r="J125" s="1"/>
  <c r="J126" s="1"/>
  <c r="J127" s="1"/>
  <c r="J128" s="1"/>
  <c r="J129" s="1"/>
  <c r="J130" s="1"/>
  <c r="J131" s="1"/>
  <c r="J132" s="1"/>
  <c r="J133" s="1"/>
  <c r="J134" s="1"/>
  <c r="J135" s="1"/>
  <c r="J136" s="1"/>
  <c r="J137" s="1"/>
  <c r="J138" s="1"/>
  <c r="J139" s="1"/>
  <c r="J140" s="1"/>
  <c r="J141" s="1"/>
  <c r="J142" s="1"/>
  <c r="J143" s="1"/>
  <c r="J144" s="1"/>
  <c r="J145" s="1"/>
  <c r="J146" s="1"/>
  <c r="J147" s="1"/>
  <c r="J148" s="1"/>
  <c r="J149" s="1"/>
  <c r="J150" s="1"/>
  <c r="J151" s="1"/>
  <c r="J152" s="1"/>
  <c r="J153" s="1"/>
  <c r="I16" i="7" s="1"/>
  <c r="J16" s="1"/>
  <c r="K16" s="1"/>
  <c r="R16" s="1"/>
  <c r="K10" i="16"/>
  <c r="K11" s="1"/>
  <c r="K12" s="1"/>
  <c r="K13" s="1"/>
  <c r="K14" s="1"/>
  <c r="K15" s="1"/>
  <c r="K16" s="1"/>
  <c r="K17" s="1"/>
  <c r="K18" s="1"/>
  <c r="K19" s="1"/>
  <c r="K20" s="1"/>
  <c r="K21" s="1"/>
  <c r="K22" s="1"/>
  <c r="K23" s="1"/>
  <c r="K24" s="1"/>
  <c r="K25" s="1"/>
  <c r="K26" s="1"/>
  <c r="K27" s="1"/>
  <c r="K28" s="1"/>
  <c r="K29" s="1"/>
  <c r="K30" s="1"/>
  <c r="K31" s="1"/>
  <c r="K32" s="1"/>
  <c r="K33" s="1"/>
  <c r="K34" s="1"/>
  <c r="K35" s="1"/>
  <c r="K36" s="1"/>
  <c r="K37" s="1"/>
  <c r="K38" s="1"/>
  <c r="K39" s="1"/>
  <c r="K40" s="1"/>
  <c r="K41" s="1"/>
  <c r="K42" s="1"/>
  <c r="K43" s="1"/>
  <c r="K44" s="1"/>
  <c r="K45" s="1"/>
  <c r="K46" s="1"/>
  <c r="K47" s="1"/>
  <c r="K48" s="1"/>
  <c r="K49" s="1"/>
  <c r="K50" s="1"/>
  <c r="K51" s="1"/>
  <c r="K52" s="1"/>
  <c r="K53" s="1"/>
  <c r="K54" s="1"/>
  <c r="K55" s="1"/>
  <c r="K56" s="1"/>
  <c r="K57" s="1"/>
  <c r="K58" s="1"/>
  <c r="K59" s="1"/>
  <c r="K60" s="1"/>
  <c r="K61" s="1"/>
  <c r="K62" s="1"/>
  <c r="K63" s="1"/>
  <c r="K64" s="1"/>
  <c r="K65" s="1"/>
  <c r="K66" s="1"/>
  <c r="K67" s="1"/>
  <c r="K68" s="1"/>
  <c r="K69" s="1"/>
  <c r="K70" s="1"/>
  <c r="K71" s="1"/>
  <c r="K72" s="1"/>
  <c r="K73" s="1"/>
  <c r="K74" s="1"/>
  <c r="K75" s="1"/>
  <c r="K76" s="1"/>
  <c r="K77" s="1"/>
  <c r="K78" s="1"/>
  <c r="K79" s="1"/>
  <c r="K80" s="1"/>
  <c r="K81" s="1"/>
  <c r="K82" s="1"/>
  <c r="K83" s="1"/>
  <c r="K84" s="1"/>
  <c r="K85" s="1"/>
  <c r="K86" s="1"/>
  <c r="K87" s="1"/>
  <c r="K88" s="1"/>
  <c r="K89" s="1"/>
  <c r="K90" s="1"/>
  <c r="K91" s="1"/>
  <c r="K92" s="1"/>
  <c r="K93" s="1"/>
  <c r="K94" s="1"/>
  <c r="K95" s="1"/>
  <c r="K96" s="1"/>
  <c r="K97" s="1"/>
  <c r="K98" s="1"/>
  <c r="K99" s="1"/>
  <c r="K100" s="1"/>
  <c r="K101" s="1"/>
  <c r="K102" s="1"/>
  <c r="K103" s="1"/>
  <c r="K104" s="1"/>
  <c r="K105" s="1"/>
  <c r="K106" s="1"/>
  <c r="K107" s="1"/>
  <c r="K108" s="1"/>
  <c r="K109" s="1"/>
  <c r="K110" s="1"/>
  <c r="K111" s="1"/>
  <c r="K112" s="1"/>
  <c r="K113" s="1"/>
  <c r="K114" s="1"/>
  <c r="K115" s="1"/>
  <c r="K116" s="1"/>
  <c r="K117" s="1"/>
  <c r="K118" s="1"/>
  <c r="K119" s="1"/>
  <c r="K120" s="1"/>
  <c r="K121" s="1"/>
  <c r="K122" s="1"/>
  <c r="K123" s="1"/>
  <c r="K124" s="1"/>
  <c r="K125" s="1"/>
  <c r="K126" s="1"/>
  <c r="K127" s="1"/>
  <c r="K128" s="1"/>
  <c r="K129" s="1"/>
  <c r="K130" s="1"/>
  <c r="K131" s="1"/>
  <c r="K132" s="1"/>
  <c r="K133" s="1"/>
  <c r="K134" s="1"/>
  <c r="K135" s="1"/>
  <c r="K136" s="1"/>
  <c r="K137" s="1"/>
  <c r="K138" s="1"/>
  <c r="K139" s="1"/>
  <c r="K140" s="1"/>
  <c r="K141" s="1"/>
  <c r="K142" s="1"/>
  <c r="K143" s="1"/>
  <c r="K144" s="1"/>
  <c r="K145" s="1"/>
  <c r="K146" s="1"/>
  <c r="K147" s="1"/>
  <c r="K148" s="1"/>
  <c r="K149" s="1"/>
  <c r="K150" s="1"/>
  <c r="K151" s="1"/>
  <c r="K152" s="1"/>
  <c r="K153" s="1"/>
  <c r="K154" s="1"/>
  <c r="K155" s="1"/>
  <c r="K156" s="1"/>
  <c r="K157" s="1"/>
  <c r="K158" s="1"/>
  <c r="K159" s="1"/>
  <c r="K160" s="1"/>
  <c r="K161" s="1"/>
  <c r="K162" s="1"/>
  <c r="K163" s="1"/>
  <c r="K164" s="1"/>
  <c r="K165" s="1"/>
  <c r="K166" s="1"/>
  <c r="K167" s="1"/>
  <c r="K168" s="1"/>
  <c r="K169" s="1"/>
  <c r="K170" s="1"/>
  <c r="K171" s="1"/>
  <c r="K172" s="1"/>
  <c r="K173" s="1"/>
  <c r="K174" s="1"/>
  <c r="K175" s="1"/>
  <c r="K176" s="1"/>
  <c r="K177" s="1"/>
  <c r="K178" s="1"/>
  <c r="K179" s="1"/>
  <c r="K180" s="1"/>
  <c r="K181" s="1"/>
  <c r="K182" s="1"/>
  <c r="K183" s="1"/>
  <c r="K184" s="1"/>
  <c r="K185" s="1"/>
  <c r="K186" s="1"/>
  <c r="K187" s="1"/>
  <c r="K188" s="1"/>
  <c r="K189" s="1"/>
  <c r="K190" s="1"/>
  <c r="K191" s="1"/>
  <c r="K192" s="1"/>
  <c r="K193" s="1"/>
  <c r="K194" s="1"/>
  <c r="K195" s="1"/>
  <c r="K196" s="1"/>
  <c r="K197" s="1"/>
  <c r="K198" s="1"/>
  <c r="K199" s="1"/>
  <c r="K200" s="1"/>
  <c r="K201" s="1"/>
  <c r="K202" s="1"/>
  <c r="K203" s="1"/>
  <c r="K204" s="1"/>
  <c r="K205" s="1"/>
  <c r="K206" s="1"/>
  <c r="K207" s="1"/>
  <c r="K208" s="1"/>
  <c r="K209" s="1"/>
  <c r="K210" s="1"/>
  <c r="K211" s="1"/>
  <c r="K212" s="1"/>
  <c r="K213" s="1"/>
  <c r="K214" s="1"/>
  <c r="K215" s="1"/>
  <c r="K216" s="1"/>
  <c r="K217" s="1"/>
  <c r="K218" s="1"/>
  <c r="K219" s="1"/>
  <c r="K220" s="1"/>
  <c r="K221" s="1"/>
  <c r="K222" s="1"/>
  <c r="K223" s="1"/>
  <c r="K224" s="1"/>
  <c r="K225" s="1"/>
  <c r="K226" s="1"/>
  <c r="K227" s="1"/>
  <c r="K228" s="1"/>
  <c r="K229" s="1"/>
  <c r="K230" s="1"/>
  <c r="K231" s="1"/>
  <c r="K232" s="1"/>
  <c r="K233" s="1"/>
  <c r="K234" s="1"/>
  <c r="K235" s="1"/>
  <c r="K236" s="1"/>
  <c r="K237" s="1"/>
  <c r="K238" s="1"/>
  <c r="K239" s="1"/>
  <c r="K240" s="1"/>
  <c r="K241" s="1"/>
  <c r="K242" s="1"/>
  <c r="K243" s="1"/>
  <c r="K244" s="1"/>
  <c r="K245" s="1"/>
  <c r="K246" s="1"/>
  <c r="K247" s="1"/>
  <c r="K248" s="1"/>
  <c r="K249" s="1"/>
  <c r="K250" s="1"/>
  <c r="K251" s="1"/>
  <c r="K252" s="1"/>
  <c r="K253" s="1"/>
  <c r="K254" s="1"/>
  <c r="K255" s="1"/>
  <c r="K256" s="1"/>
  <c r="K257" s="1"/>
  <c r="K258" s="1"/>
  <c r="K259" s="1"/>
  <c r="K260" s="1"/>
  <c r="K261" s="1"/>
  <c r="K262" s="1"/>
  <c r="K263" s="1"/>
  <c r="K264" s="1"/>
  <c r="K265" s="1"/>
  <c r="K266" s="1"/>
  <c r="K267" s="1"/>
  <c r="K268" s="1"/>
  <c r="K269" s="1"/>
  <c r="K270" s="1"/>
  <c r="K271" s="1"/>
  <c r="K272" s="1"/>
  <c r="K273" s="1"/>
  <c r="K274" s="1"/>
  <c r="K275" s="1"/>
  <c r="K276" s="1"/>
  <c r="K277" s="1"/>
  <c r="K278" s="1"/>
  <c r="K279" s="1"/>
  <c r="K280" s="1"/>
  <c r="K281" s="1"/>
  <c r="K282" s="1"/>
  <c r="K283" s="1"/>
  <c r="K284" s="1"/>
  <c r="K285" s="1"/>
  <c r="K286" s="1"/>
  <c r="K287" s="1"/>
  <c r="K288" s="1"/>
  <c r="K289" s="1"/>
  <c r="K290" s="1"/>
  <c r="K291" s="1"/>
  <c r="K292" s="1"/>
  <c r="K293" s="1"/>
  <c r="K294" s="1"/>
  <c r="K295" s="1"/>
  <c r="K296" s="1"/>
  <c r="K297" s="1"/>
  <c r="K298" s="1"/>
  <c r="K299" s="1"/>
  <c r="K300" s="1"/>
  <c r="K301" s="1"/>
  <c r="K302" s="1"/>
  <c r="K303" s="1"/>
  <c r="G6"/>
  <c r="G7" s="1"/>
  <c r="G8" s="1"/>
  <c r="J6" i="7"/>
  <c r="K6" s="1"/>
  <c r="L6" s="1"/>
  <c r="M6" s="1"/>
  <c r="N6" s="1"/>
  <c r="P6" s="1"/>
  <c r="Q6" s="1"/>
  <c r="R6" s="1"/>
  <c r="N10" i="16"/>
  <c r="N11" s="1"/>
  <c r="N12" s="1"/>
  <c r="N13" s="1"/>
  <c r="N14" s="1"/>
  <c r="N15" s="1"/>
  <c r="N16" s="1"/>
  <c r="N17" s="1"/>
  <c r="N18" s="1"/>
  <c r="N19" s="1"/>
  <c r="N20" s="1"/>
  <c r="N21" s="1"/>
  <c r="N22" s="1"/>
  <c r="N23" s="1"/>
  <c r="N24" s="1"/>
  <c r="N25" s="1"/>
  <c r="N26" s="1"/>
  <c r="N27" s="1"/>
  <c r="N28" s="1"/>
  <c r="N29" s="1"/>
  <c r="N30" s="1"/>
  <c r="N31" s="1"/>
  <c r="N32" s="1"/>
  <c r="N33" s="1"/>
  <c r="N34" s="1"/>
  <c r="N35" s="1"/>
  <c r="N36" s="1"/>
  <c r="N37" s="1"/>
  <c r="N38" s="1"/>
  <c r="N39" s="1"/>
  <c r="N40" s="1"/>
  <c r="N41" s="1"/>
  <c r="N42" s="1"/>
  <c r="N43" s="1"/>
  <c r="N44" s="1"/>
  <c r="N45" s="1"/>
  <c r="N46" s="1"/>
  <c r="N47" s="1"/>
  <c r="N48" s="1"/>
  <c r="N49" s="1"/>
  <c r="N50" s="1"/>
  <c r="N51" s="1"/>
  <c r="N52" s="1"/>
  <c r="N53" s="1"/>
  <c r="N54" s="1"/>
  <c r="N55" s="1"/>
  <c r="N56" s="1"/>
  <c r="N57" s="1"/>
  <c r="N58" s="1"/>
  <c r="N59" s="1"/>
  <c r="N60" s="1"/>
  <c r="N61" s="1"/>
  <c r="N62" s="1"/>
  <c r="N63" s="1"/>
  <c r="N64" s="1"/>
  <c r="N65" s="1"/>
  <c r="N66" s="1"/>
  <c r="N67" s="1"/>
  <c r="N68" s="1"/>
  <c r="N69" s="1"/>
  <c r="N70" s="1"/>
  <c r="N71" s="1"/>
  <c r="N72" s="1"/>
  <c r="N73" s="1"/>
  <c r="N74" s="1"/>
  <c r="N75" s="1"/>
  <c r="N76" s="1"/>
  <c r="N77" s="1"/>
  <c r="N78" s="1"/>
  <c r="N79" s="1"/>
  <c r="N80" s="1"/>
  <c r="N81" s="1"/>
  <c r="N82" s="1"/>
  <c r="N83" s="1"/>
  <c r="N84" s="1"/>
  <c r="N85" s="1"/>
  <c r="N86" s="1"/>
  <c r="N87" s="1"/>
  <c r="N88" s="1"/>
  <c r="N89" s="1"/>
  <c r="N90" s="1"/>
  <c r="N91" s="1"/>
  <c r="N92" s="1"/>
  <c r="N93" s="1"/>
  <c r="N94" s="1"/>
  <c r="N95" s="1"/>
  <c r="N96" s="1"/>
  <c r="N97" s="1"/>
  <c r="N98" s="1"/>
  <c r="N99" s="1"/>
  <c r="N100" s="1"/>
  <c r="N101" s="1"/>
  <c r="N102" s="1"/>
  <c r="N103" s="1"/>
  <c r="N104" s="1"/>
  <c r="N105" s="1"/>
  <c r="N106" s="1"/>
  <c r="N107" s="1"/>
  <c r="N108" s="1"/>
  <c r="N109" s="1"/>
  <c r="N110" s="1"/>
  <c r="N111" s="1"/>
  <c r="N112" s="1"/>
  <c r="N113" s="1"/>
  <c r="N114" s="1"/>
  <c r="N115" s="1"/>
  <c r="N116" s="1"/>
  <c r="N117" s="1"/>
  <c r="N118" s="1"/>
  <c r="N119" s="1"/>
  <c r="N120" s="1"/>
  <c r="N121" s="1"/>
  <c r="N122" s="1"/>
  <c r="N123" s="1"/>
  <c r="N124" s="1"/>
  <c r="N125" s="1"/>
  <c r="N126" s="1"/>
  <c r="N127" s="1"/>
  <c r="N128" s="1"/>
  <c r="N129" s="1"/>
  <c r="N130" s="1"/>
  <c r="N131" s="1"/>
  <c r="N132" s="1"/>
  <c r="N133" s="1"/>
  <c r="N134" s="1"/>
  <c r="N135" s="1"/>
  <c r="N136" s="1"/>
  <c r="N137" s="1"/>
  <c r="N138" s="1"/>
  <c r="N139" s="1"/>
  <c r="N140" s="1"/>
  <c r="N141" s="1"/>
  <c r="N142" s="1"/>
  <c r="N143" s="1"/>
  <c r="N144" s="1"/>
  <c r="N145" s="1"/>
  <c r="N146" s="1"/>
  <c r="N147" s="1"/>
  <c r="N148" s="1"/>
  <c r="N149" s="1"/>
  <c r="N150" s="1"/>
  <c r="N151" s="1"/>
  <c r="N152" s="1"/>
  <c r="N153" s="1"/>
  <c r="N154" s="1"/>
  <c r="N155" s="1"/>
  <c r="N156" s="1"/>
  <c r="N157" s="1"/>
  <c r="N158" s="1"/>
  <c r="N159" s="1"/>
  <c r="N160" s="1"/>
  <c r="N161" s="1"/>
  <c r="N162" s="1"/>
  <c r="N163" s="1"/>
  <c r="N164" s="1"/>
  <c r="N165" s="1"/>
  <c r="N166" s="1"/>
  <c r="N167" s="1"/>
  <c r="N168" s="1"/>
  <c r="N169" s="1"/>
  <c r="N170" s="1"/>
  <c r="N171" s="1"/>
  <c r="N172" s="1"/>
  <c r="N173" s="1"/>
  <c r="N174" s="1"/>
  <c r="N175" s="1"/>
  <c r="N176" s="1"/>
  <c r="N177" s="1"/>
  <c r="N178" s="1"/>
  <c r="N179" s="1"/>
  <c r="N180" s="1"/>
  <c r="N181" s="1"/>
  <c r="N182" s="1"/>
  <c r="N183" s="1"/>
  <c r="N184" s="1"/>
  <c r="N185" s="1"/>
  <c r="N186" s="1"/>
  <c r="N187" s="1"/>
  <c r="N188" s="1"/>
  <c r="N189" s="1"/>
  <c r="N190" s="1"/>
  <c r="N191" s="1"/>
  <c r="N192" s="1"/>
  <c r="N193" s="1"/>
  <c r="N194" s="1"/>
  <c r="N195" s="1"/>
  <c r="N196" s="1"/>
  <c r="N197" s="1"/>
  <c r="N198" s="1"/>
  <c r="N199" s="1"/>
  <c r="N200" s="1"/>
  <c r="N201" s="1"/>
  <c r="N202" s="1"/>
  <c r="N203" s="1"/>
  <c r="N204" s="1"/>
  <c r="N205" s="1"/>
  <c r="N206" s="1"/>
  <c r="N207" s="1"/>
  <c r="N208" s="1"/>
  <c r="N209" s="1"/>
  <c r="N210" s="1"/>
  <c r="N211" s="1"/>
  <c r="N212" s="1"/>
  <c r="N213" s="1"/>
  <c r="N214" s="1"/>
  <c r="N215" s="1"/>
  <c r="N216" s="1"/>
  <c r="N217" s="1"/>
  <c r="N218" s="1"/>
  <c r="N219" s="1"/>
  <c r="N220" s="1"/>
  <c r="N221" s="1"/>
  <c r="N222" s="1"/>
  <c r="N223" s="1"/>
  <c r="N224" s="1"/>
  <c r="N225" s="1"/>
  <c r="N226" s="1"/>
  <c r="N227" s="1"/>
  <c r="N228" s="1"/>
  <c r="N229" s="1"/>
  <c r="N230" s="1"/>
  <c r="N231" s="1"/>
  <c r="N232" s="1"/>
  <c r="N233" s="1"/>
  <c r="N234" s="1"/>
  <c r="N235" s="1"/>
  <c r="N236" s="1"/>
  <c r="N237" s="1"/>
  <c r="N238" s="1"/>
  <c r="N239" s="1"/>
  <c r="N240" s="1"/>
  <c r="N241" s="1"/>
  <c r="N242" s="1"/>
  <c r="N243" s="1"/>
  <c r="N244" s="1"/>
  <c r="N245" s="1"/>
  <c r="N246" s="1"/>
  <c r="N247" s="1"/>
  <c r="N248" s="1"/>
  <c r="N249" s="1"/>
  <c r="N250" s="1"/>
  <c r="N251" s="1"/>
  <c r="N252" s="1"/>
  <c r="N253" s="1"/>
  <c r="N254" s="1"/>
  <c r="N255" s="1"/>
  <c r="N256" s="1"/>
  <c r="N257" s="1"/>
  <c r="N258" s="1"/>
  <c r="N259" s="1"/>
  <c r="N260" s="1"/>
  <c r="N261" s="1"/>
  <c r="N262" s="1"/>
  <c r="N263" s="1"/>
  <c r="N264" s="1"/>
  <c r="N265" s="1"/>
  <c r="N266" s="1"/>
  <c r="N267" s="1"/>
  <c r="N268" s="1"/>
  <c r="N269" s="1"/>
  <c r="N270" s="1"/>
  <c r="N271" s="1"/>
  <c r="N272" s="1"/>
  <c r="N273" s="1"/>
  <c r="N274" s="1"/>
  <c r="N275" s="1"/>
  <c r="N276" s="1"/>
  <c r="N277" s="1"/>
  <c r="N278" s="1"/>
  <c r="N279" s="1"/>
  <c r="N280" s="1"/>
  <c r="N281" s="1"/>
  <c r="N282" s="1"/>
  <c r="N283" s="1"/>
  <c r="N284" s="1"/>
  <c r="N285" s="1"/>
  <c r="N286" s="1"/>
  <c r="N287" s="1"/>
  <c r="N288" s="1"/>
  <c r="N289" s="1"/>
  <c r="N290" s="1"/>
  <c r="N291" s="1"/>
  <c r="N292" s="1"/>
  <c r="N293" s="1"/>
  <c r="N294" s="1"/>
  <c r="N295" s="1"/>
  <c r="N296" s="1"/>
  <c r="N297" s="1"/>
  <c r="N298" s="1"/>
  <c r="N299" s="1"/>
  <c r="N300" s="1"/>
  <c r="N301" s="1"/>
  <c r="N302" s="1"/>
  <c r="N303" s="1"/>
  <c r="H10"/>
  <c r="H11" s="1"/>
  <c r="H12" s="1"/>
  <c r="H13" s="1"/>
  <c r="H14" s="1"/>
  <c r="H15" s="1"/>
  <c r="H16" s="1"/>
  <c r="H17" s="1"/>
  <c r="H18" s="1"/>
  <c r="H19" s="1"/>
  <c r="H20" s="1"/>
  <c r="H21" s="1"/>
  <c r="H22" s="1"/>
  <c r="H23" s="1"/>
  <c r="H24" s="1"/>
  <c r="H25" s="1"/>
  <c r="H26" s="1"/>
  <c r="H27" s="1"/>
  <c r="H28" s="1"/>
  <c r="H29" s="1"/>
  <c r="H30" s="1"/>
  <c r="H31" s="1"/>
  <c r="H32" s="1"/>
  <c r="H33" s="1"/>
  <c r="H34" s="1"/>
  <c r="H35" s="1"/>
  <c r="H36" s="1"/>
  <c r="H37" s="1"/>
  <c r="H38" s="1"/>
  <c r="H39" s="1"/>
  <c r="H40" s="1"/>
  <c r="H41" s="1"/>
  <c r="H42" s="1"/>
  <c r="H43" s="1"/>
  <c r="H44" s="1"/>
  <c r="H45" s="1"/>
  <c r="H46" s="1"/>
  <c r="H47" s="1"/>
  <c r="H48" s="1"/>
  <c r="H49" s="1"/>
  <c r="H50" s="1"/>
  <c r="H51" s="1"/>
  <c r="H52" s="1"/>
  <c r="H53" s="1"/>
  <c r="H54" s="1"/>
  <c r="H55" s="1"/>
  <c r="H56" s="1"/>
  <c r="H57" s="1"/>
  <c r="H58" s="1"/>
  <c r="H59" s="1"/>
  <c r="H60" s="1"/>
  <c r="H61" s="1"/>
  <c r="H62" s="1"/>
  <c r="H63" s="1"/>
  <c r="H64" s="1"/>
  <c r="H65" s="1"/>
  <c r="H66" s="1"/>
  <c r="H67" s="1"/>
  <c r="H68" s="1"/>
  <c r="H69" s="1"/>
  <c r="H70" s="1"/>
  <c r="H71" s="1"/>
  <c r="H72" s="1"/>
  <c r="H73" s="1"/>
  <c r="H74" s="1"/>
  <c r="H75" s="1"/>
  <c r="H76" s="1"/>
  <c r="H77" s="1"/>
  <c r="H78" s="1"/>
  <c r="H79" s="1"/>
  <c r="H80" s="1"/>
  <c r="H81" s="1"/>
  <c r="H82" s="1"/>
  <c r="H83" s="1"/>
  <c r="H84" s="1"/>
  <c r="H85" s="1"/>
  <c r="H86" s="1"/>
  <c r="H87" s="1"/>
  <c r="H88" s="1"/>
  <c r="H89" s="1"/>
  <c r="H90" s="1"/>
  <c r="H91" s="1"/>
  <c r="H92" s="1"/>
  <c r="H93" s="1"/>
  <c r="H94" s="1"/>
  <c r="H95" s="1"/>
  <c r="H96" s="1"/>
  <c r="H97" s="1"/>
  <c r="H98" s="1"/>
  <c r="H99" s="1"/>
  <c r="H100" s="1"/>
  <c r="H101" s="1"/>
  <c r="H102" s="1"/>
  <c r="H103" s="1"/>
  <c r="H104" s="1"/>
  <c r="H105" s="1"/>
  <c r="H106" s="1"/>
  <c r="H107" s="1"/>
  <c r="H108" s="1"/>
  <c r="H109" s="1"/>
  <c r="H110" s="1"/>
  <c r="H111" s="1"/>
  <c r="H112" s="1"/>
  <c r="H113" s="1"/>
  <c r="H114" s="1"/>
  <c r="H115" s="1"/>
  <c r="H116" s="1"/>
  <c r="H117" s="1"/>
  <c r="H118" s="1"/>
  <c r="H119" s="1"/>
  <c r="H120" s="1"/>
  <c r="H121" s="1"/>
  <c r="H122" s="1"/>
  <c r="H123" s="1"/>
  <c r="H124" s="1"/>
  <c r="H125" s="1"/>
  <c r="H126" s="1"/>
  <c r="H127" s="1"/>
  <c r="H128" s="1"/>
  <c r="H129" s="1"/>
  <c r="H130" s="1"/>
  <c r="H131" s="1"/>
  <c r="H132" s="1"/>
  <c r="H133" s="1"/>
  <c r="H134" s="1"/>
  <c r="H135" s="1"/>
  <c r="H136" s="1"/>
  <c r="H137" s="1"/>
  <c r="H138" s="1"/>
  <c r="H139" s="1"/>
  <c r="H140" s="1"/>
  <c r="H141" s="1"/>
  <c r="H142" s="1"/>
  <c r="H143" s="1"/>
  <c r="H144" s="1"/>
  <c r="H145" s="1"/>
  <c r="H146" s="1"/>
  <c r="H147" s="1"/>
  <c r="H148" s="1"/>
  <c r="H149" s="1"/>
  <c r="H150" s="1"/>
  <c r="H151" s="1"/>
  <c r="H152" s="1"/>
  <c r="H153" s="1"/>
  <c r="H154" s="1"/>
  <c r="H155" s="1"/>
  <c r="H156" s="1"/>
  <c r="H157" s="1"/>
  <c r="H158" s="1"/>
  <c r="H159" s="1"/>
  <c r="H160" s="1"/>
  <c r="H161" s="1"/>
  <c r="H162" s="1"/>
  <c r="H163" s="1"/>
  <c r="H164" s="1"/>
  <c r="H165" s="1"/>
  <c r="H166" s="1"/>
  <c r="H167" s="1"/>
  <c r="H168" s="1"/>
  <c r="H169" s="1"/>
  <c r="H170" s="1"/>
  <c r="H171" s="1"/>
  <c r="H172" s="1"/>
  <c r="H173" s="1"/>
  <c r="H174" s="1"/>
  <c r="H175" s="1"/>
  <c r="H176" s="1"/>
  <c r="H177" s="1"/>
  <c r="H178" s="1"/>
  <c r="H179" s="1"/>
  <c r="H180" s="1"/>
  <c r="H181" s="1"/>
  <c r="H182" s="1"/>
  <c r="H183" s="1"/>
  <c r="H184" s="1"/>
  <c r="H185" s="1"/>
  <c r="H186" s="1"/>
  <c r="H187" s="1"/>
  <c r="H188" s="1"/>
  <c r="H189" s="1"/>
  <c r="H190" s="1"/>
  <c r="H191" s="1"/>
  <c r="H192" s="1"/>
  <c r="H193" s="1"/>
  <c r="H194" s="1"/>
  <c r="H195" s="1"/>
  <c r="H196" s="1"/>
  <c r="H197" s="1"/>
  <c r="H198" s="1"/>
  <c r="H199" s="1"/>
  <c r="H200" s="1"/>
  <c r="H201" s="1"/>
  <c r="H202" s="1"/>
  <c r="H203" s="1"/>
  <c r="H204" s="1"/>
  <c r="H205" s="1"/>
  <c r="H206" s="1"/>
  <c r="H207" s="1"/>
  <c r="H208" s="1"/>
  <c r="H209" s="1"/>
  <c r="H210" s="1"/>
  <c r="H211" s="1"/>
  <c r="H212" s="1"/>
  <c r="H213" s="1"/>
  <c r="H214" s="1"/>
  <c r="H215" s="1"/>
  <c r="H216" s="1"/>
  <c r="H217" s="1"/>
  <c r="H218" s="1"/>
  <c r="H219" s="1"/>
  <c r="H220" s="1"/>
  <c r="H221" s="1"/>
  <c r="H222" s="1"/>
  <c r="H223" s="1"/>
  <c r="H224" s="1"/>
  <c r="H225" s="1"/>
  <c r="H226" s="1"/>
  <c r="H227" s="1"/>
  <c r="H228" s="1"/>
  <c r="H229" s="1"/>
  <c r="H230" s="1"/>
  <c r="H231" s="1"/>
  <c r="H232" s="1"/>
  <c r="H233" s="1"/>
  <c r="H234" s="1"/>
  <c r="H235" s="1"/>
  <c r="H236" s="1"/>
  <c r="H237" s="1"/>
  <c r="H238" s="1"/>
  <c r="H239" s="1"/>
  <c r="H240" s="1"/>
  <c r="H241" s="1"/>
  <c r="H242" s="1"/>
  <c r="H243" s="1"/>
  <c r="H244" s="1"/>
  <c r="H245" s="1"/>
  <c r="H246" s="1"/>
  <c r="H247" s="1"/>
  <c r="H248" s="1"/>
  <c r="H249" s="1"/>
  <c r="H250" s="1"/>
  <c r="H251" s="1"/>
  <c r="H252" s="1"/>
  <c r="H253" s="1"/>
  <c r="H254" s="1"/>
  <c r="H255" s="1"/>
  <c r="H256" s="1"/>
  <c r="H257" s="1"/>
  <c r="H258" s="1"/>
  <c r="H259" s="1"/>
  <c r="H260" s="1"/>
  <c r="H261" s="1"/>
  <c r="H262" s="1"/>
  <c r="H263" s="1"/>
  <c r="H264" s="1"/>
  <c r="H265" s="1"/>
  <c r="H266" s="1"/>
  <c r="H267" s="1"/>
  <c r="H268" s="1"/>
  <c r="H269" s="1"/>
  <c r="H270" s="1"/>
  <c r="H271" s="1"/>
  <c r="H272" s="1"/>
  <c r="H273" s="1"/>
  <c r="H274" s="1"/>
  <c r="H275" s="1"/>
  <c r="H276" s="1"/>
  <c r="H277" s="1"/>
  <c r="H278" s="1"/>
  <c r="H279" s="1"/>
  <c r="H280" s="1"/>
  <c r="H281" s="1"/>
  <c r="H282" s="1"/>
  <c r="H283" s="1"/>
  <c r="H284" s="1"/>
  <c r="H285" s="1"/>
  <c r="H286" s="1"/>
  <c r="H287" s="1"/>
  <c r="H288" s="1"/>
  <c r="H289" s="1"/>
  <c r="H290" s="1"/>
  <c r="H291" s="1"/>
  <c r="H292" s="1"/>
  <c r="H293" s="1"/>
  <c r="H294" s="1"/>
  <c r="H295" s="1"/>
  <c r="H296" s="1"/>
  <c r="H297" s="1"/>
  <c r="H298" s="1"/>
  <c r="H299" s="1"/>
  <c r="H300" s="1"/>
  <c r="H301" s="1"/>
  <c r="H302" s="1"/>
  <c r="H303" s="1"/>
  <c r="G9"/>
  <c r="G10" s="1"/>
  <c r="G11" s="1"/>
  <c r="G12" s="1"/>
  <c r="G13" s="1"/>
  <c r="G14" s="1"/>
  <c r="G15" s="1"/>
  <c r="G16" s="1"/>
  <c r="G17" s="1"/>
  <c r="G18" s="1"/>
  <c r="G19" s="1"/>
  <c r="G20" s="1"/>
  <c r="G21" s="1"/>
  <c r="G22" s="1"/>
  <c r="G23" s="1"/>
  <c r="G24" s="1"/>
  <c r="G25" s="1"/>
  <c r="G26" s="1"/>
  <c r="G27" s="1"/>
  <c r="G28" s="1"/>
  <c r="G29" s="1"/>
  <c r="G30" s="1"/>
  <c r="G31" s="1"/>
  <c r="G32" s="1"/>
  <c r="G33" s="1"/>
  <c r="G34" s="1"/>
  <c r="G35" s="1"/>
  <c r="G36" s="1"/>
  <c r="G37" s="1"/>
  <c r="G38" s="1"/>
  <c r="G39" s="1"/>
  <c r="G40" s="1"/>
  <c r="G41" s="1"/>
  <c r="G42" s="1"/>
  <c r="G43" s="1"/>
  <c r="G44" s="1"/>
  <c r="G45" s="1"/>
  <c r="G46" s="1"/>
  <c r="G47" s="1"/>
  <c r="G48" s="1"/>
  <c r="G49" s="1"/>
  <c r="G50" s="1"/>
  <c r="G51" s="1"/>
  <c r="G52" s="1"/>
  <c r="G53" s="1"/>
  <c r="G54" s="1"/>
  <c r="G55" s="1"/>
  <c r="G56" s="1"/>
  <c r="G57" s="1"/>
  <c r="G58" s="1"/>
  <c r="G59" s="1"/>
  <c r="G60" s="1"/>
  <c r="G61" s="1"/>
  <c r="G62" s="1"/>
  <c r="G63" s="1"/>
  <c r="G64" s="1"/>
  <c r="G65" s="1"/>
  <c r="G66" s="1"/>
  <c r="G67" s="1"/>
  <c r="G68" s="1"/>
  <c r="G69" s="1"/>
  <c r="G70" s="1"/>
  <c r="G71" s="1"/>
  <c r="G72" s="1"/>
  <c r="G73" s="1"/>
  <c r="G74" s="1"/>
  <c r="G75" s="1"/>
  <c r="G76" s="1"/>
  <c r="G77" s="1"/>
  <c r="G78" s="1"/>
  <c r="G79" s="1"/>
  <c r="G80" s="1"/>
  <c r="G81" s="1"/>
  <c r="G82" s="1"/>
  <c r="G83" s="1"/>
  <c r="G84" s="1"/>
  <c r="G85" s="1"/>
  <c r="G86" s="1"/>
  <c r="G87" s="1"/>
  <c r="G88" s="1"/>
  <c r="G89" s="1"/>
  <c r="G90" s="1"/>
  <c r="G91" s="1"/>
  <c r="G92" s="1"/>
  <c r="G93" s="1"/>
  <c r="G94" s="1"/>
  <c r="G95" s="1"/>
  <c r="G96" s="1"/>
  <c r="G97" s="1"/>
  <c r="G98" s="1"/>
  <c r="G99" s="1"/>
  <c r="G100" s="1"/>
  <c r="G101" s="1"/>
  <c r="G102" s="1"/>
  <c r="G103" s="1"/>
  <c r="G104" s="1"/>
  <c r="G105" s="1"/>
  <c r="G106" s="1"/>
  <c r="G107" s="1"/>
  <c r="G108" s="1"/>
  <c r="G109" s="1"/>
  <c r="G110" s="1"/>
  <c r="G111" s="1"/>
  <c r="G112" s="1"/>
  <c r="G113" s="1"/>
  <c r="G114" s="1"/>
  <c r="G115" s="1"/>
  <c r="G116" s="1"/>
  <c r="G117" s="1"/>
  <c r="G118" s="1"/>
  <c r="G119" s="1"/>
  <c r="G120" s="1"/>
  <c r="G121" s="1"/>
  <c r="G122" s="1"/>
  <c r="G123" s="1"/>
  <c r="G124" s="1"/>
  <c r="G125" s="1"/>
  <c r="G126" s="1"/>
  <c r="G127" s="1"/>
  <c r="G128" s="1"/>
  <c r="G129" s="1"/>
  <c r="G130" s="1"/>
  <c r="G131" s="1"/>
  <c r="G132" s="1"/>
  <c r="G133" s="1"/>
  <c r="G134" s="1"/>
  <c r="G135" s="1"/>
  <c r="G136" s="1"/>
  <c r="G137" s="1"/>
  <c r="G138" s="1"/>
  <c r="G139" s="1"/>
  <c r="G140" s="1"/>
  <c r="G141" s="1"/>
  <c r="G142" s="1"/>
  <c r="G143" s="1"/>
  <c r="G144" s="1"/>
  <c r="G145" s="1"/>
  <c r="G146" s="1"/>
  <c r="G147" s="1"/>
  <c r="G148" s="1"/>
  <c r="G149" s="1"/>
  <c r="G150" s="1"/>
  <c r="G151" s="1"/>
  <c r="G152" s="1"/>
  <c r="G153" s="1"/>
  <c r="G154" s="1"/>
  <c r="G155" s="1"/>
  <c r="G156" s="1"/>
  <c r="G157" s="1"/>
  <c r="G158" s="1"/>
  <c r="G159" s="1"/>
  <c r="G160" s="1"/>
  <c r="G161" s="1"/>
  <c r="G162" s="1"/>
  <c r="G163" s="1"/>
  <c r="G164" s="1"/>
  <c r="G165" s="1"/>
  <c r="G166" s="1"/>
  <c r="G167" s="1"/>
  <c r="G168" s="1"/>
  <c r="G169" s="1"/>
  <c r="G170" s="1"/>
  <c r="G171" s="1"/>
  <c r="G172" s="1"/>
  <c r="G173" s="1"/>
  <c r="G174" s="1"/>
  <c r="G175" s="1"/>
  <c r="G176" s="1"/>
  <c r="G177" s="1"/>
  <c r="G178" s="1"/>
  <c r="G179" s="1"/>
  <c r="G180" s="1"/>
  <c r="G181" s="1"/>
  <c r="G182" s="1"/>
  <c r="G183" s="1"/>
  <c r="G184" s="1"/>
  <c r="G185" s="1"/>
  <c r="G186" s="1"/>
  <c r="G187" s="1"/>
  <c r="G188" s="1"/>
  <c r="G189" s="1"/>
  <c r="G190" s="1"/>
  <c r="G191" s="1"/>
  <c r="G192" s="1"/>
  <c r="G193" s="1"/>
  <c r="G194" s="1"/>
  <c r="G195" s="1"/>
  <c r="G196" s="1"/>
  <c r="G197" s="1"/>
  <c r="G198" s="1"/>
  <c r="G199" s="1"/>
  <c r="G200" s="1"/>
  <c r="G201" s="1"/>
  <c r="G202" s="1"/>
  <c r="G203" s="1"/>
  <c r="G204" s="1"/>
  <c r="G205" s="1"/>
  <c r="G206" s="1"/>
  <c r="G207" s="1"/>
  <c r="G208" s="1"/>
  <c r="G209" s="1"/>
  <c r="G210" s="1"/>
  <c r="G211" s="1"/>
  <c r="G212" s="1"/>
  <c r="G213" s="1"/>
  <c r="G214" s="1"/>
  <c r="G215" s="1"/>
  <c r="G216" s="1"/>
  <c r="G217" s="1"/>
  <c r="G218" s="1"/>
  <c r="G219" s="1"/>
  <c r="G220" s="1"/>
  <c r="G221" s="1"/>
  <c r="G222" s="1"/>
  <c r="G223" s="1"/>
  <c r="G224" s="1"/>
  <c r="G225" s="1"/>
  <c r="G226" s="1"/>
  <c r="G227" s="1"/>
  <c r="G228" s="1"/>
  <c r="G229" s="1"/>
  <c r="G230" s="1"/>
  <c r="G231" s="1"/>
  <c r="G232" s="1"/>
  <c r="G233" s="1"/>
  <c r="G234" s="1"/>
  <c r="G235" s="1"/>
  <c r="G236" s="1"/>
  <c r="G237" s="1"/>
  <c r="G238" s="1"/>
  <c r="G239" s="1"/>
  <c r="G240" s="1"/>
  <c r="G241" s="1"/>
  <c r="G242" s="1"/>
  <c r="G243" s="1"/>
  <c r="G244" s="1"/>
  <c r="G245" s="1"/>
  <c r="G246" s="1"/>
  <c r="G247" s="1"/>
  <c r="G248" s="1"/>
  <c r="G249" s="1"/>
  <c r="G250" s="1"/>
  <c r="G251" s="1"/>
  <c r="G252" s="1"/>
  <c r="G253" s="1"/>
  <c r="G254" s="1"/>
  <c r="G255" s="1"/>
  <c r="G256" s="1"/>
  <c r="G257" s="1"/>
  <c r="G258" s="1"/>
  <c r="G259" s="1"/>
  <c r="G260" s="1"/>
  <c r="G261" s="1"/>
  <c r="G262" s="1"/>
  <c r="G263" s="1"/>
  <c r="G264" s="1"/>
  <c r="G265" s="1"/>
  <c r="G266" s="1"/>
  <c r="G267" s="1"/>
  <c r="G268" s="1"/>
  <c r="G269" s="1"/>
  <c r="G270" s="1"/>
  <c r="G271" s="1"/>
  <c r="G272" s="1"/>
  <c r="G273" s="1"/>
  <c r="G274" s="1"/>
  <c r="G275" s="1"/>
  <c r="G276" s="1"/>
  <c r="G277" s="1"/>
  <c r="G278" s="1"/>
  <c r="G279" s="1"/>
  <c r="G280" s="1"/>
  <c r="G281" s="1"/>
  <c r="G282" s="1"/>
  <c r="G283" s="1"/>
  <c r="G284" s="1"/>
  <c r="G285" s="1"/>
  <c r="G286" s="1"/>
  <c r="G287" s="1"/>
  <c r="G288" s="1"/>
  <c r="G289" s="1"/>
  <c r="G290" s="1"/>
  <c r="G291" s="1"/>
  <c r="G292" s="1"/>
  <c r="G293" s="1"/>
  <c r="G294" s="1"/>
  <c r="G295" s="1"/>
  <c r="G296" s="1"/>
  <c r="G297" s="1"/>
  <c r="G298" s="1"/>
  <c r="G299" s="1"/>
  <c r="G300" s="1"/>
  <c r="G301" s="1"/>
  <c r="G302" s="1"/>
  <c r="G303" s="1"/>
  <c r="E10"/>
  <c r="E1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B10"/>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O6" i="7"/>
  <c r="E9" i="33"/>
  <c r="K9"/>
  <c r="B9"/>
  <c r="H9"/>
  <c r="G6"/>
  <c r="G7"/>
  <c r="G8" s="1"/>
  <c r="G9" s="1"/>
  <c r="G10" s="1"/>
  <c r="G11" s="1"/>
  <c r="G12" s="1"/>
  <c r="G13" s="1"/>
  <c r="G14" s="1"/>
  <c r="G15" s="1"/>
  <c r="G16" s="1"/>
  <c r="G17" s="1"/>
  <c r="G18" s="1"/>
  <c r="G19" s="1"/>
  <c r="G20" s="1"/>
  <c r="G21" s="1"/>
  <c r="G22" s="1"/>
  <c r="G23" s="1"/>
  <c r="G24" s="1"/>
  <c r="G25" s="1"/>
  <c r="G26" s="1"/>
  <c r="G27" s="1"/>
  <c r="G28" s="1"/>
  <c r="G29" s="1"/>
  <c r="G30" s="1"/>
  <c r="G31" s="1"/>
  <c r="G32" s="1"/>
  <c r="G33" s="1"/>
  <c r="E10"/>
  <c r="K10"/>
  <c r="B10"/>
  <c r="H10"/>
  <c r="B11"/>
  <c r="H11"/>
  <c r="E11"/>
  <c r="K11"/>
  <c r="N10"/>
  <c r="N11" s="1"/>
  <c r="N12" s="1"/>
  <c r="N13" s="1"/>
  <c r="N14" s="1"/>
  <c r="N15" s="1"/>
  <c r="N16" s="1"/>
  <c r="N17" s="1"/>
  <c r="N18" s="1"/>
  <c r="N19" s="1"/>
  <c r="N20" s="1"/>
  <c r="N21" s="1"/>
  <c r="N22" s="1"/>
  <c r="N23" s="1"/>
  <c r="N24" s="1"/>
  <c r="N25" s="1"/>
  <c r="N26" s="1"/>
  <c r="N27" s="1"/>
  <c r="N28" s="1"/>
  <c r="N29" s="1"/>
  <c r="N30" s="1"/>
  <c r="N31" s="1"/>
  <c r="N32" s="1"/>
  <c r="N33" s="1"/>
  <c r="N34" s="1"/>
  <c r="N35" s="1"/>
  <c r="N36" s="1"/>
  <c r="N37" s="1"/>
  <c r="N38" s="1"/>
  <c r="N39" s="1"/>
  <c r="N40" s="1"/>
  <c r="N41" s="1"/>
  <c r="N42" s="1"/>
  <c r="N43" s="1"/>
  <c r="N44" s="1"/>
  <c r="N45" s="1"/>
  <c r="N46" s="1"/>
  <c r="N47" s="1"/>
  <c r="N48" s="1"/>
  <c r="N49" s="1"/>
  <c r="N50" s="1"/>
  <c r="N51" s="1"/>
  <c r="N52" s="1"/>
  <c r="N53" s="1"/>
  <c r="N54" s="1"/>
  <c r="N55" s="1"/>
  <c r="N56" s="1"/>
  <c r="N57" s="1"/>
  <c r="N58" s="1"/>
  <c r="N59" s="1"/>
  <c r="N60" s="1"/>
  <c r="N61" s="1"/>
  <c r="N62" s="1"/>
  <c r="N63" s="1"/>
  <c r="N64" s="1"/>
  <c r="N65" s="1"/>
  <c r="N66" s="1"/>
  <c r="N67" s="1"/>
  <c r="N68" s="1"/>
  <c r="N69" s="1"/>
  <c r="N70" s="1"/>
  <c r="N71" s="1"/>
  <c r="N72" s="1"/>
  <c r="N73" s="1"/>
  <c r="N74" s="1"/>
  <c r="N75" s="1"/>
  <c r="N76" s="1"/>
  <c r="N77" s="1"/>
  <c r="N78" s="1"/>
  <c r="N79" s="1"/>
  <c r="N80" s="1"/>
  <c r="N81" s="1"/>
  <c r="N82" s="1"/>
  <c r="N83" s="1"/>
  <c r="N84" s="1"/>
  <c r="N85" s="1"/>
  <c r="N86" s="1"/>
  <c r="N87" s="1"/>
  <c r="N88" s="1"/>
  <c r="N89" s="1"/>
  <c r="N90" s="1"/>
  <c r="N91" s="1"/>
  <c r="N92" s="1"/>
  <c r="N93" s="1"/>
  <c r="N94" s="1"/>
  <c r="N95" s="1"/>
  <c r="N96" s="1"/>
  <c r="N97" s="1"/>
  <c r="N98" s="1"/>
  <c r="N99" s="1"/>
  <c r="N100" s="1"/>
  <c r="N101" s="1"/>
  <c r="N102" s="1"/>
  <c r="N103" s="1"/>
  <c r="N104" s="1"/>
  <c r="N105" s="1"/>
  <c r="N106" s="1"/>
  <c r="N107" s="1"/>
  <c r="N108" s="1"/>
  <c r="N109" s="1"/>
  <c r="N110" s="1"/>
  <c r="N111" s="1"/>
  <c r="N112" s="1"/>
  <c r="N113" s="1"/>
  <c r="N114" s="1"/>
  <c r="N115" s="1"/>
  <c r="N116" s="1"/>
  <c r="N117" s="1"/>
  <c r="N118" s="1"/>
  <c r="N119" s="1"/>
  <c r="N120" s="1"/>
  <c r="N121" s="1"/>
  <c r="N122" s="1"/>
  <c r="N123" s="1"/>
  <c r="N124" s="1"/>
  <c r="N125" s="1"/>
  <c r="N126" s="1"/>
  <c r="N127" s="1"/>
  <c r="N128" s="1"/>
  <c r="N129" s="1"/>
  <c r="N130" s="1"/>
  <c r="N131" s="1"/>
  <c r="N132" s="1"/>
  <c r="N133" s="1"/>
  <c r="N134" s="1"/>
  <c r="N135" s="1"/>
  <c r="N136" s="1"/>
  <c r="N137" s="1"/>
  <c r="N138" s="1"/>
  <c r="N139" s="1"/>
  <c r="N140" s="1"/>
  <c r="N141" s="1"/>
  <c r="N142" s="1"/>
  <c r="N143" s="1"/>
  <c r="N144" s="1"/>
  <c r="N145" s="1"/>
  <c r="N146" s="1"/>
  <c r="N147" s="1"/>
  <c r="N148" s="1"/>
  <c r="N149" s="1"/>
  <c r="N150" s="1"/>
  <c r="N151" s="1"/>
  <c r="N152" s="1"/>
  <c r="N153" s="1"/>
  <c r="N154" s="1"/>
  <c r="N155" s="1"/>
  <c r="N156" s="1"/>
  <c r="N157" s="1"/>
  <c r="N158" s="1"/>
  <c r="N159" s="1"/>
  <c r="N160" s="1"/>
  <c r="N161" s="1"/>
  <c r="N162" s="1"/>
  <c r="N163" s="1"/>
  <c r="N164" s="1"/>
  <c r="N165" s="1"/>
  <c r="N166" s="1"/>
  <c r="N167" s="1"/>
  <c r="N168" s="1"/>
  <c r="N169" s="1"/>
  <c r="N170" s="1"/>
  <c r="N171" s="1"/>
  <c r="N172" s="1"/>
  <c r="N173" s="1"/>
  <c r="N174" s="1"/>
  <c r="N175" s="1"/>
  <c r="N176" s="1"/>
  <c r="N177" s="1"/>
  <c r="N178" s="1"/>
  <c r="N179" s="1"/>
  <c r="N180" s="1"/>
  <c r="N181" s="1"/>
  <c r="N182" s="1"/>
  <c r="N183" s="1"/>
  <c r="N184" s="1"/>
  <c r="N185" s="1"/>
  <c r="N186" s="1"/>
  <c r="N187" s="1"/>
  <c r="N188" s="1"/>
  <c r="N189" s="1"/>
  <c r="N190" s="1"/>
  <c r="N191" s="1"/>
  <c r="N192" s="1"/>
  <c r="N193" s="1"/>
  <c r="N194" s="1"/>
  <c r="N195" s="1"/>
  <c r="N196" s="1"/>
  <c r="N197" s="1"/>
  <c r="N198" s="1"/>
  <c r="N199" s="1"/>
  <c r="N200" s="1"/>
  <c r="N201" s="1"/>
  <c r="N202" s="1"/>
  <c r="N203" s="1"/>
  <c r="N204" s="1"/>
  <c r="N205" s="1"/>
  <c r="N206" s="1"/>
  <c r="N207" s="1"/>
  <c r="N208" s="1"/>
  <c r="N209" s="1"/>
  <c r="N210" s="1"/>
  <c r="N211" s="1"/>
  <c r="N212" s="1"/>
  <c r="N213" s="1"/>
  <c r="N214" s="1"/>
  <c r="N215" s="1"/>
  <c r="N216" s="1"/>
  <c r="N217" s="1"/>
  <c r="N218" s="1"/>
  <c r="N219" s="1"/>
  <c r="N220" s="1"/>
  <c r="N221" s="1"/>
  <c r="N222" s="1"/>
  <c r="N223" s="1"/>
  <c r="N224" s="1"/>
  <c r="N225" s="1"/>
  <c r="N226" s="1"/>
  <c r="N227" s="1"/>
  <c r="N228" s="1"/>
  <c r="N229" s="1"/>
  <c r="N230" s="1"/>
  <c r="N231" s="1"/>
  <c r="N232" s="1"/>
  <c r="N233" s="1"/>
  <c r="N234" s="1"/>
  <c r="N235" s="1"/>
  <c r="N236" s="1"/>
  <c r="N237" s="1"/>
  <c r="N238" s="1"/>
  <c r="N239" s="1"/>
  <c r="N240" s="1"/>
  <c r="N241" s="1"/>
  <c r="N242" s="1"/>
  <c r="N243" s="1"/>
  <c r="N244" s="1"/>
  <c r="N245" s="1"/>
  <c r="N246" s="1"/>
  <c r="N247" s="1"/>
  <c r="N248" s="1"/>
  <c r="N249" s="1"/>
  <c r="N250" s="1"/>
  <c r="N251" s="1"/>
  <c r="N252" s="1"/>
  <c r="N253" s="1"/>
  <c r="N254" s="1"/>
  <c r="N255" s="1"/>
  <c r="N256" s="1"/>
  <c r="N257" s="1"/>
  <c r="N258" s="1"/>
  <c r="N259" s="1"/>
  <c r="N260" s="1"/>
  <c r="N261" s="1"/>
  <c r="N262" s="1"/>
  <c r="N263" s="1"/>
  <c r="N264" s="1"/>
  <c r="N265" s="1"/>
  <c r="N266" s="1"/>
  <c r="N267" s="1"/>
  <c r="N268" s="1"/>
  <c r="N269" s="1"/>
  <c r="N270" s="1"/>
  <c r="N271" s="1"/>
  <c r="N272" s="1"/>
  <c r="N273" s="1"/>
  <c r="N274" s="1"/>
  <c r="N275" s="1"/>
  <c r="N276" s="1"/>
  <c r="N277" s="1"/>
  <c r="N278" s="1"/>
  <c r="N279" s="1"/>
  <c r="N280" s="1"/>
  <c r="N281" s="1"/>
  <c r="N282" s="1"/>
  <c r="N283" s="1"/>
  <c r="N284" s="1"/>
  <c r="N285" s="1"/>
  <c r="N286" s="1"/>
  <c r="N287" s="1"/>
  <c r="N288" s="1"/>
  <c r="N289" s="1"/>
  <c r="N290" s="1"/>
  <c r="N291" s="1"/>
  <c r="N292" s="1"/>
  <c r="N293" s="1"/>
  <c r="N294" s="1"/>
  <c r="N295" s="1"/>
  <c r="N296" s="1"/>
  <c r="N297" s="1"/>
  <c r="N298" s="1"/>
  <c r="N299" s="1"/>
  <c r="N300" s="1"/>
  <c r="N301" s="1"/>
  <c r="N302" s="1"/>
  <c r="N303" s="1"/>
  <c r="E12"/>
  <c r="K12"/>
  <c r="B12"/>
  <c r="H12"/>
  <c r="H13"/>
  <c r="K13"/>
  <c r="E24" i="51"/>
  <c r="F24" s="1"/>
  <c r="F26" s="1"/>
  <c r="F27" s="1"/>
  <c r="D154" i="33"/>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B25" i="41"/>
  <c r="D25" s="1"/>
  <c r="G25" s="1"/>
  <c r="G26" s="1"/>
  <c r="H31" s="1"/>
  <c r="L31" s="1"/>
  <c r="L35" s="1"/>
  <c r="L37" s="1"/>
  <c r="G34" i="33"/>
  <c r="G35"/>
  <c r="G36" s="1"/>
  <c r="G37" s="1"/>
  <c r="G38" s="1"/>
  <c r="G39" s="1"/>
  <c r="G40" s="1"/>
  <c r="G41" s="1"/>
  <c r="G42" s="1"/>
  <c r="G43" s="1"/>
  <c r="G44" s="1"/>
  <c r="G45" s="1"/>
  <c r="G46" s="1"/>
  <c r="G47" s="1"/>
  <c r="G48" s="1"/>
  <c r="G49" s="1"/>
  <c r="G50" s="1"/>
  <c r="G51" s="1"/>
  <c r="G52" s="1"/>
  <c r="G53" s="1"/>
  <c r="G54" s="1"/>
  <c r="G55" s="1"/>
  <c r="G56" s="1"/>
  <c r="G57" s="1"/>
  <c r="G58" s="1"/>
  <c r="G59" s="1"/>
  <c r="G60" s="1"/>
  <c r="G61" s="1"/>
  <c r="G62" s="1"/>
  <c r="G63" s="1"/>
  <c r="G64" s="1"/>
  <c r="G65" s="1"/>
  <c r="G66" s="1"/>
  <c r="G67" s="1"/>
  <c r="G68" s="1"/>
  <c r="G69" s="1"/>
  <c r="G70" s="1"/>
  <c r="G71" s="1"/>
  <c r="G72" s="1"/>
  <c r="G73" s="1"/>
  <c r="G74" s="1"/>
  <c r="G75" s="1"/>
  <c r="G76" s="1"/>
  <c r="G77" s="1"/>
  <c r="G78" s="1"/>
  <c r="G79" s="1"/>
  <c r="G80" s="1"/>
  <c r="G81" s="1"/>
  <c r="G82" s="1"/>
  <c r="G83" s="1"/>
  <c r="G84" s="1"/>
  <c r="G85" s="1"/>
  <c r="G86" s="1"/>
  <c r="G87" s="1"/>
  <c r="G88" s="1"/>
  <c r="G89" s="1"/>
  <c r="G90" s="1"/>
  <c r="G91" s="1"/>
  <c r="G92" s="1"/>
  <c r="G93" s="1"/>
  <c r="G94" s="1"/>
  <c r="G95" s="1"/>
  <c r="G96" s="1"/>
  <c r="G97" s="1"/>
  <c r="G98" s="1"/>
  <c r="G99" s="1"/>
  <c r="G100" s="1"/>
  <c r="G101" s="1"/>
  <c r="G102" s="1"/>
  <c r="G103" s="1"/>
  <c r="G104" s="1"/>
  <c r="G105" s="1"/>
  <c r="G106" s="1"/>
  <c r="G107" s="1"/>
  <c r="G108" s="1"/>
  <c r="G109" s="1"/>
  <c r="G110" s="1"/>
  <c r="G111" s="1"/>
  <c r="G112" s="1"/>
  <c r="G113" s="1"/>
  <c r="G114" s="1"/>
  <c r="G115" s="1"/>
  <c r="G116" s="1"/>
  <c r="G117" s="1"/>
  <c r="G118" s="1"/>
  <c r="G119" s="1"/>
  <c r="G120" s="1"/>
  <c r="G121" s="1"/>
  <c r="G122" s="1"/>
  <c r="G123" s="1"/>
  <c r="G124" s="1"/>
  <c r="G125" s="1"/>
  <c r="G126" s="1"/>
  <c r="G127" s="1"/>
  <c r="G128" s="1"/>
  <c r="G129" s="1"/>
  <c r="G130" s="1"/>
  <c r="G131" s="1"/>
  <c r="G132" s="1"/>
  <c r="G133" s="1"/>
  <c r="G134" s="1"/>
  <c r="G135" s="1"/>
  <c r="G136" s="1"/>
  <c r="G137" s="1"/>
  <c r="G138" s="1"/>
  <c r="G139" s="1"/>
  <c r="G140" s="1"/>
  <c r="G141" s="1"/>
  <c r="G142" s="1"/>
  <c r="G143" s="1"/>
  <c r="G144" s="1"/>
  <c r="G145" s="1"/>
  <c r="G146" s="1"/>
  <c r="G147" s="1"/>
  <c r="G148" s="1"/>
  <c r="G149" s="1"/>
  <c r="G150" s="1"/>
  <c r="G151" s="1"/>
  <c r="G152" s="1"/>
  <c r="G153" s="1"/>
  <c r="G154" s="1"/>
  <c r="G155" s="1"/>
  <c r="G156" s="1"/>
  <c r="G157" s="1"/>
  <c r="G158" s="1"/>
  <c r="G159" s="1"/>
  <c r="G160" s="1"/>
  <c r="G161" s="1"/>
  <c r="G162" s="1"/>
  <c r="G163" s="1"/>
  <c r="G164" s="1"/>
  <c r="G165" s="1"/>
  <c r="G166" s="1"/>
  <c r="G167" s="1"/>
  <c r="G168" s="1"/>
  <c r="G169" s="1"/>
  <c r="G170" s="1"/>
  <c r="G171" s="1"/>
  <c r="G172" s="1"/>
  <c r="G173" s="1"/>
  <c r="G174" s="1"/>
  <c r="G175" s="1"/>
  <c r="G176" s="1"/>
  <c r="G177" s="1"/>
  <c r="G178" s="1"/>
  <c r="G179" s="1"/>
  <c r="G180" s="1"/>
  <c r="G181" s="1"/>
  <c r="G182" s="1"/>
  <c r="G183" s="1"/>
  <c r="G184" s="1"/>
  <c r="G185" s="1"/>
  <c r="G186" s="1"/>
  <c r="G187" s="1"/>
  <c r="G188" s="1"/>
  <c r="G189" s="1"/>
  <c r="G190" s="1"/>
  <c r="G191" s="1"/>
  <c r="G192" s="1"/>
  <c r="G193" s="1"/>
  <c r="G194" s="1"/>
  <c r="G195" s="1"/>
  <c r="G196" s="1"/>
  <c r="G197" s="1"/>
  <c r="G198" s="1"/>
  <c r="G199" s="1"/>
  <c r="G200" s="1"/>
  <c r="G201" s="1"/>
  <c r="G202" s="1"/>
  <c r="G203" s="1"/>
  <c r="G204" s="1"/>
  <c r="G205" s="1"/>
  <c r="G206" s="1"/>
  <c r="G207" s="1"/>
  <c r="G208" s="1"/>
  <c r="G209" s="1"/>
  <c r="G210" s="1"/>
  <c r="G211" s="1"/>
  <c r="G212" s="1"/>
  <c r="G213" s="1"/>
  <c r="G214" s="1"/>
  <c r="G215" s="1"/>
  <c r="G216" s="1"/>
  <c r="G217" s="1"/>
  <c r="G218" s="1"/>
  <c r="G219" s="1"/>
  <c r="G220" s="1"/>
  <c r="G221" s="1"/>
  <c r="G222" s="1"/>
  <c r="G223" s="1"/>
  <c r="G224" s="1"/>
  <c r="G225" s="1"/>
  <c r="G226" s="1"/>
  <c r="G227" s="1"/>
  <c r="G228" s="1"/>
  <c r="G229" s="1"/>
  <c r="G230" s="1"/>
  <c r="G231" s="1"/>
  <c r="G232" s="1"/>
  <c r="G233" s="1"/>
  <c r="G234" s="1"/>
  <c r="G235" s="1"/>
  <c r="G236" s="1"/>
  <c r="G237" s="1"/>
  <c r="G238" s="1"/>
  <c r="G239" s="1"/>
  <c r="G240" s="1"/>
  <c r="G241" s="1"/>
  <c r="G242" s="1"/>
  <c r="G243" s="1"/>
  <c r="G244" s="1"/>
  <c r="G245" s="1"/>
  <c r="G246" s="1"/>
  <c r="G247" s="1"/>
  <c r="G248" s="1"/>
  <c r="G249" s="1"/>
  <c r="G250" s="1"/>
  <c r="G251" s="1"/>
  <c r="G252" s="1"/>
  <c r="G253" s="1"/>
  <c r="G254" s="1"/>
  <c r="G255" s="1"/>
  <c r="G256" s="1"/>
  <c r="G257" s="1"/>
  <c r="G258" s="1"/>
  <c r="G259" s="1"/>
  <c r="G260" s="1"/>
  <c r="G261" s="1"/>
  <c r="G262" s="1"/>
  <c r="G263" s="1"/>
  <c r="G264" s="1"/>
  <c r="G265" s="1"/>
  <c r="G266" s="1"/>
  <c r="G267" s="1"/>
  <c r="G268" s="1"/>
  <c r="G269" s="1"/>
  <c r="G270" s="1"/>
  <c r="G271" s="1"/>
  <c r="G272" s="1"/>
  <c r="G273" s="1"/>
  <c r="G274" s="1"/>
  <c r="G275" s="1"/>
  <c r="G276" s="1"/>
  <c r="G277" s="1"/>
  <c r="G278" s="1"/>
  <c r="G279" s="1"/>
  <c r="G280" s="1"/>
  <c r="G281" s="1"/>
  <c r="G282" s="1"/>
  <c r="G283" s="1"/>
  <c r="G284" s="1"/>
  <c r="G285" s="1"/>
  <c r="G286" s="1"/>
  <c r="G287" s="1"/>
  <c r="G288" s="1"/>
  <c r="G289" s="1"/>
  <c r="G290" s="1"/>
  <c r="G291" s="1"/>
  <c r="G292" s="1"/>
  <c r="G293" s="1"/>
  <c r="G294" s="1"/>
  <c r="G295" s="1"/>
  <c r="G296" s="1"/>
  <c r="G297" s="1"/>
  <c r="G298" s="1"/>
  <c r="G299" s="1"/>
  <c r="G300" s="1"/>
  <c r="G301" s="1"/>
  <c r="G302" s="1"/>
  <c r="G303" s="1"/>
  <c r="G476" i="23" l="1"/>
  <c r="G477" s="1"/>
  <c r="I55" i="31"/>
  <c r="N55" s="1"/>
  <c r="J154" i="16"/>
  <c r="J155" s="1"/>
  <c r="J156" s="1"/>
  <c r="J157" s="1"/>
  <c r="J158" s="1"/>
  <c r="J159" s="1"/>
  <c r="J160" s="1"/>
  <c r="J161" s="1"/>
  <c r="J162" s="1"/>
  <c r="J163" s="1"/>
  <c r="J164" s="1"/>
  <c r="J165" s="1"/>
  <c r="J166" s="1"/>
  <c r="J167" s="1"/>
  <c r="J168" s="1"/>
  <c r="J169" s="1"/>
  <c r="J170" s="1"/>
  <c r="J171" s="1"/>
  <c r="J172" s="1"/>
  <c r="J173" s="1"/>
  <c r="J174" s="1"/>
  <c r="J175" s="1"/>
  <c r="J176" s="1"/>
  <c r="J177" s="1"/>
  <c r="J178" s="1"/>
  <c r="J179" s="1"/>
  <c r="J180" s="1"/>
  <c r="J181" s="1"/>
  <c r="J182" s="1"/>
  <c r="J183" s="1"/>
  <c r="J184" s="1"/>
  <c r="J185" s="1"/>
  <c r="J186" s="1"/>
  <c r="J187" s="1"/>
  <c r="J188" s="1"/>
  <c r="J189" s="1"/>
  <c r="J190" s="1"/>
  <c r="J191" s="1"/>
  <c r="J192" s="1"/>
  <c r="J193" s="1"/>
  <c r="J194" s="1"/>
  <c r="J195" s="1"/>
  <c r="J196" s="1"/>
  <c r="J197" s="1"/>
  <c r="J198" s="1"/>
  <c r="J199" s="1"/>
  <c r="J200" s="1"/>
  <c r="J201" s="1"/>
  <c r="J202" s="1"/>
  <c r="J203" s="1"/>
  <c r="J204" s="1"/>
  <c r="J205" s="1"/>
  <c r="J206" s="1"/>
  <c r="J207" s="1"/>
  <c r="J208" s="1"/>
  <c r="J209" s="1"/>
  <c r="J210" s="1"/>
  <c r="J211" s="1"/>
  <c r="J212" s="1"/>
  <c r="J213" s="1"/>
  <c r="J214" s="1"/>
  <c r="J215" s="1"/>
  <c r="J216" s="1"/>
  <c r="J217" s="1"/>
  <c r="J218" s="1"/>
  <c r="J219" s="1"/>
  <c r="J220" s="1"/>
  <c r="J221" s="1"/>
  <c r="J222" s="1"/>
  <c r="J223" s="1"/>
  <c r="J224" s="1"/>
  <c r="J225" s="1"/>
  <c r="J226" s="1"/>
  <c r="J227" s="1"/>
  <c r="J228" s="1"/>
  <c r="J229" s="1"/>
  <c r="J230" s="1"/>
  <c r="J231" s="1"/>
  <c r="J232" s="1"/>
  <c r="J233" s="1"/>
  <c r="J234" s="1"/>
  <c r="J235" s="1"/>
  <c r="J236" s="1"/>
  <c r="J237" s="1"/>
  <c r="J238" s="1"/>
  <c r="J239" s="1"/>
  <c r="J240" s="1"/>
  <c r="J241" s="1"/>
  <c r="J242" s="1"/>
  <c r="J243" s="1"/>
  <c r="J244" s="1"/>
  <c r="J245" s="1"/>
  <c r="J246" s="1"/>
  <c r="J247" s="1"/>
  <c r="J248" s="1"/>
  <c r="J249" s="1"/>
  <c r="J250" s="1"/>
  <c r="J251" s="1"/>
  <c r="J252" s="1"/>
  <c r="J253" s="1"/>
  <c r="J254" s="1"/>
  <c r="J255" s="1"/>
  <c r="J256" s="1"/>
  <c r="J257" s="1"/>
  <c r="J258" s="1"/>
  <c r="J259" s="1"/>
  <c r="J260" s="1"/>
  <c r="J261" s="1"/>
  <c r="J262" s="1"/>
  <c r="J263" s="1"/>
  <c r="J264" s="1"/>
  <c r="J265" s="1"/>
  <c r="J266" s="1"/>
  <c r="J267" s="1"/>
  <c r="J268" s="1"/>
  <c r="J269" s="1"/>
  <c r="J270" s="1"/>
  <c r="J271" s="1"/>
  <c r="J272" s="1"/>
  <c r="J273" s="1"/>
  <c r="J274" s="1"/>
  <c r="J275" s="1"/>
  <c r="J276" s="1"/>
  <c r="J277" s="1"/>
  <c r="J278" s="1"/>
  <c r="J279" s="1"/>
  <c r="J280" s="1"/>
  <c r="J281" s="1"/>
  <c r="J282" s="1"/>
  <c r="J283" s="1"/>
  <c r="J284" s="1"/>
  <c r="J285" s="1"/>
  <c r="J286" s="1"/>
  <c r="J287" s="1"/>
  <c r="J288" s="1"/>
  <c r="J289" s="1"/>
  <c r="J290" s="1"/>
  <c r="J291" s="1"/>
  <c r="J292" s="1"/>
  <c r="J293" s="1"/>
  <c r="J294" s="1"/>
  <c r="J295" s="1"/>
  <c r="J296" s="1"/>
  <c r="J297" s="1"/>
  <c r="J298" s="1"/>
  <c r="J299" s="1"/>
  <c r="J300" s="1"/>
  <c r="J301" s="1"/>
  <c r="J302" s="1"/>
  <c r="J303" s="1"/>
  <c r="H18" i="31"/>
  <c r="M35" i="40"/>
  <c r="M37" s="1"/>
  <c r="I14" i="31"/>
  <c r="G140" i="19"/>
  <c r="G141" s="1"/>
  <c r="G142" s="1"/>
  <c r="L38" i="41"/>
  <c r="L40"/>
  <c r="L41" s="1"/>
  <c r="Q28" i="31"/>
  <c r="S28" s="1"/>
  <c r="Q25"/>
  <c r="S25" s="1"/>
  <c r="N29"/>
  <c r="N60"/>
  <c r="Q60"/>
  <c r="S60" s="1"/>
  <c r="M38" i="40"/>
  <c r="M40" s="1"/>
  <c r="M41" s="1"/>
  <c r="L38" i="42"/>
  <c r="L40" s="1"/>
  <c r="L41" s="1"/>
  <c r="H19" i="31"/>
  <c r="H20"/>
  <c r="I20" s="1"/>
  <c r="Q63"/>
  <c r="S63" s="1"/>
  <c r="Q62"/>
  <c r="S62" s="1"/>
  <c r="N64"/>
  <c r="G442" i="23"/>
  <c r="E447"/>
  <c r="E13" i="33"/>
  <c r="A14"/>
  <c r="B13"/>
  <c r="I19" i="31"/>
  <c r="I20" i="7"/>
  <c r="J20" s="1"/>
  <c r="K20" s="1"/>
  <c r="R20" s="1"/>
  <c r="F120" i="26" s="1"/>
  <c r="G120" s="1"/>
  <c r="G121" s="1"/>
  <c r="E122" s="1"/>
  <c r="G122" s="1"/>
  <c r="G123" s="1"/>
  <c r="G124" s="1"/>
  <c r="N51" i="31"/>
  <c r="Q49"/>
  <c r="S49" s="1"/>
  <c r="I15"/>
  <c r="I16" s="1"/>
  <c r="G441" i="23"/>
  <c r="E448"/>
  <c r="G190"/>
  <c r="G196" s="1"/>
  <c r="G201" s="1"/>
  <c r="F166" i="19"/>
  <c r="G166" s="1"/>
  <c r="F443" i="23"/>
  <c r="G443" s="1"/>
  <c r="S65" i="31" l="1"/>
  <c r="U65" s="1"/>
  <c r="H21"/>
  <c r="I21" s="1"/>
  <c r="I18"/>
  <c r="J40" i="20"/>
  <c r="K40" s="1"/>
  <c r="G168" i="19"/>
  <c r="G169" s="1"/>
  <c r="I23" i="31"/>
  <c r="Q14"/>
  <c r="S14" s="1"/>
  <c r="N16"/>
  <c r="A15" i="33"/>
  <c r="E14"/>
  <c r="H14"/>
  <c r="B14"/>
  <c r="K14"/>
  <c r="G444" i="23"/>
  <c r="G449" s="1"/>
  <c r="A16" i="33" l="1"/>
  <c r="H15"/>
  <c r="B15"/>
  <c r="K15"/>
  <c r="E15"/>
  <c r="N23" i="31"/>
  <c r="Q23"/>
  <c r="S23" s="1"/>
  <c r="S30" s="1"/>
  <c r="U30" s="1"/>
  <c r="K91" i="20"/>
  <c r="A17" i="33" l="1"/>
  <c r="E16"/>
  <c r="H16"/>
  <c r="B16"/>
  <c r="K16"/>
  <c r="M17" i="20" l="1"/>
  <c r="M25"/>
  <c r="M31"/>
  <c r="M35"/>
  <c r="M44"/>
  <c r="M48"/>
  <c r="M54"/>
  <c r="M59"/>
  <c r="M64"/>
  <c r="M90"/>
  <c r="M95"/>
  <c r="M20"/>
  <c r="M24"/>
  <c r="M30"/>
  <c r="M34"/>
  <c r="M39"/>
  <c r="M43"/>
  <c r="M47"/>
  <c r="M53"/>
  <c r="M57"/>
  <c r="M63"/>
  <c r="M88"/>
  <c r="M94"/>
  <c r="M19"/>
  <c r="M23"/>
  <c r="M33"/>
  <c r="M38"/>
  <c r="M42"/>
  <c r="M46"/>
  <c r="M50"/>
  <c r="M56"/>
  <c r="M62"/>
  <c r="M87"/>
  <c r="M92"/>
  <c r="M18"/>
  <c r="M22"/>
  <c r="M26"/>
  <c r="M32"/>
  <c r="M36"/>
  <c r="M41"/>
  <c r="M45"/>
  <c r="M49"/>
  <c r="M55"/>
  <c r="M61"/>
  <c r="M66"/>
  <c r="M91"/>
  <c r="N91" s="1"/>
  <c r="M96"/>
  <c r="M21"/>
  <c r="M16"/>
  <c r="M29"/>
  <c r="M40"/>
  <c r="A18" i="33"/>
  <c r="H17"/>
  <c r="B17"/>
  <c r="K17"/>
  <c r="E17"/>
  <c r="K100" i="20"/>
  <c r="K102"/>
  <c r="K101"/>
  <c r="K98"/>
  <c r="K99"/>
  <c r="C5" i="38"/>
  <c r="L91" i="20"/>
  <c r="A19" i="33" l="1"/>
  <c r="E18"/>
  <c r="H18"/>
  <c r="B18"/>
  <c r="K18"/>
  <c r="K103" i="20"/>
  <c r="C7" i="38"/>
  <c r="C8"/>
  <c r="A20" i="33" l="1"/>
  <c r="H19"/>
  <c r="B19"/>
  <c r="K19"/>
  <c r="E19"/>
  <c r="C9" i="38"/>
  <c r="A21" i="33" l="1"/>
  <c r="E20"/>
  <c r="H20"/>
  <c r="B20"/>
  <c r="K20"/>
  <c r="C11" i="38"/>
  <c r="C10"/>
  <c r="A22" i="33" l="1"/>
  <c r="H21"/>
  <c r="B21"/>
  <c r="K21"/>
  <c r="E21"/>
  <c r="C12" i="38"/>
  <c r="C13" s="1"/>
  <c r="A23" i="33" l="1"/>
  <c r="B22"/>
  <c r="K22"/>
  <c r="E22"/>
  <c r="H22"/>
  <c r="A24" l="1"/>
  <c r="E23"/>
  <c r="I21" i="7" s="1"/>
  <c r="J21" s="1"/>
  <c r="K21" s="1"/>
  <c r="R21" s="1"/>
  <c r="K23" i="33"/>
  <c r="I15" i="7" s="1"/>
  <c r="J15" s="1"/>
  <c r="K15" s="1"/>
  <c r="R15" s="1"/>
  <c r="F227" i="26" s="1"/>
  <c r="G227" s="1"/>
  <c r="B23" i="33"/>
  <c r="H23"/>
  <c r="A25" l="1"/>
  <c r="B24"/>
  <c r="H24"/>
  <c r="K24"/>
  <c r="E24"/>
  <c r="A26" l="1"/>
  <c r="H25"/>
  <c r="K25"/>
  <c r="E25"/>
  <c r="B25"/>
  <c r="A27" l="1"/>
  <c r="B26"/>
  <c r="K26"/>
  <c r="E26"/>
  <c r="H26"/>
  <c r="A28" l="1"/>
  <c r="B27"/>
  <c r="K27"/>
  <c r="E27"/>
  <c r="H27"/>
  <c r="A29" l="1"/>
  <c r="H28"/>
  <c r="B28"/>
  <c r="K28"/>
  <c r="E28"/>
  <c r="A30" l="1"/>
  <c r="B29"/>
  <c r="K29"/>
  <c r="E29"/>
  <c r="H29"/>
  <c r="A31" l="1"/>
  <c r="K30"/>
  <c r="E30"/>
  <c r="B30"/>
  <c r="H30"/>
  <c r="A32" l="1"/>
  <c r="B31"/>
  <c r="K31"/>
  <c r="E31"/>
  <c r="H31"/>
  <c r="A33" l="1"/>
  <c r="B32"/>
  <c r="H32"/>
  <c r="K32"/>
  <c r="E32"/>
  <c r="A34" l="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B33"/>
  <c r="K33"/>
  <c r="E33"/>
  <c r="H33"/>
  <c r="I18" i="7" l="1"/>
  <c r="J18" s="1"/>
  <c r="K18" s="1"/>
  <c r="R18" s="1"/>
  <c r="F201" i="26" s="1"/>
  <c r="G201" s="1"/>
  <c r="I17" i="7"/>
  <c r="J17" s="1"/>
  <c r="K17" s="1"/>
  <c r="R17" s="1"/>
  <c r="A154" i="33"/>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H303" s="1"/>
  <c r="I12" i="7"/>
  <c r="J12" s="1"/>
  <c r="K12" s="1"/>
  <c r="R12" s="1"/>
  <c r="I19"/>
  <c r="J19" s="1"/>
  <c r="K19" s="1"/>
  <c r="R19" s="1"/>
  <c r="F202" i="26" s="1"/>
  <c r="G202" s="1"/>
  <c r="H68" i="33"/>
  <c r="H77"/>
  <c r="H80"/>
  <c r="H37"/>
  <c r="H41"/>
  <c r="H45"/>
  <c r="H49"/>
  <c r="H53"/>
  <c r="H58"/>
  <c r="H62"/>
  <c r="H66"/>
  <c r="H154"/>
  <c r="H156"/>
  <c r="H158"/>
  <c r="H160"/>
  <c r="H162"/>
  <c r="H164"/>
  <c r="H166"/>
  <c r="H168"/>
  <c r="H170"/>
  <c r="H172"/>
  <c r="H71"/>
  <c r="H85"/>
  <c r="H88"/>
  <c r="H93"/>
  <c r="H96"/>
  <c r="H101"/>
  <c r="H104"/>
  <c r="H109"/>
  <c r="H112"/>
  <c r="H117"/>
  <c r="H120"/>
  <c r="H125"/>
  <c r="H128"/>
  <c r="H133"/>
  <c r="H136"/>
  <c r="H141"/>
  <c r="H144"/>
  <c r="H149"/>
  <c r="H152"/>
  <c r="H35"/>
  <c r="H40"/>
  <c r="H46"/>
  <c r="H51"/>
  <c r="H57"/>
  <c r="H63"/>
  <c r="H74"/>
  <c r="H161"/>
  <c r="H169"/>
  <c r="H174"/>
  <c r="H176"/>
  <c r="H178"/>
  <c r="H180"/>
  <c r="H182"/>
  <c r="H184"/>
  <c r="H186"/>
  <c r="H188"/>
  <c r="H190"/>
  <c r="H192"/>
  <c r="H194"/>
  <c r="H196"/>
  <c r="H198"/>
  <c r="H200"/>
  <c r="H202"/>
  <c r="H204"/>
  <c r="H206"/>
  <c r="H208"/>
  <c r="H210"/>
  <c r="H212"/>
  <c r="H214"/>
  <c r="H216"/>
  <c r="H218"/>
  <c r="H220"/>
  <c r="H222"/>
  <c r="H224"/>
  <c r="H226"/>
  <c r="H228"/>
  <c r="H230"/>
  <c r="H232"/>
  <c r="H234"/>
  <c r="H236"/>
  <c r="H238"/>
  <c r="H242"/>
  <c r="H244"/>
  <c r="H246"/>
  <c r="H250"/>
  <c r="H254"/>
  <c r="H258"/>
  <c r="H262"/>
  <c r="H266"/>
  <c r="H270"/>
  <c r="H274"/>
  <c r="H278"/>
  <c r="H282"/>
  <c r="H286"/>
  <c r="H290"/>
  <c r="H294"/>
  <c r="H298"/>
  <c r="H70"/>
  <c r="H73"/>
  <c r="H76"/>
  <c r="H82"/>
  <c r="H87"/>
  <c r="H90"/>
  <c r="H95"/>
  <c r="H98"/>
  <c r="H103"/>
  <c r="H106"/>
  <c r="H111"/>
  <c r="H114"/>
  <c r="H119"/>
  <c r="H122"/>
  <c r="H127"/>
  <c r="H130"/>
  <c r="H135"/>
  <c r="H138"/>
  <c r="H143"/>
  <c r="H146"/>
  <c r="H151"/>
  <c r="H34"/>
  <c r="H39"/>
  <c r="H44"/>
  <c r="H50"/>
  <c r="H55"/>
  <c r="H61"/>
  <c r="H67"/>
  <c r="H155"/>
  <c r="H163"/>
  <c r="H171"/>
  <c r="H297"/>
  <c r="H72"/>
  <c r="H78"/>
  <c r="H81"/>
  <c r="H84"/>
  <c r="H89"/>
  <c r="H92"/>
  <c r="H97"/>
  <c r="H100"/>
  <c r="H105"/>
  <c r="H108"/>
  <c r="H113"/>
  <c r="H116"/>
  <c r="H121"/>
  <c r="H124"/>
  <c r="H129"/>
  <c r="H132"/>
  <c r="H137"/>
  <c r="H140"/>
  <c r="H145"/>
  <c r="H148"/>
  <c r="H153"/>
  <c r="H38"/>
  <c r="H43"/>
  <c r="H48"/>
  <c r="H54"/>
  <c r="H60"/>
  <c r="H65"/>
  <c r="H157"/>
  <c r="H165"/>
  <c r="H173"/>
  <c r="H175"/>
  <c r="H177"/>
  <c r="H179"/>
  <c r="H181"/>
  <c r="H183"/>
  <c r="H185"/>
  <c r="H187"/>
  <c r="H189"/>
  <c r="H191"/>
  <c r="H193"/>
  <c r="H195"/>
  <c r="H197"/>
  <c r="H199"/>
  <c r="H201"/>
  <c r="H203"/>
  <c r="H205"/>
  <c r="H207"/>
  <c r="H209"/>
  <c r="H211"/>
  <c r="H213"/>
  <c r="H215"/>
  <c r="H217"/>
  <c r="H219"/>
  <c r="H221"/>
  <c r="H223"/>
  <c r="H225"/>
  <c r="H227"/>
  <c r="H229"/>
  <c r="H231"/>
  <c r="H233"/>
  <c r="H235"/>
  <c r="H237"/>
  <c r="H239"/>
  <c r="H241"/>
  <c r="H243"/>
  <c r="H245"/>
  <c r="H247"/>
  <c r="H249"/>
  <c r="H251"/>
  <c r="H253"/>
  <c r="H255"/>
  <c r="H257"/>
  <c r="H259"/>
  <c r="H261"/>
  <c r="H263"/>
  <c r="H265"/>
  <c r="H267"/>
  <c r="H269"/>
  <c r="H271"/>
  <c r="H273"/>
  <c r="H275"/>
  <c r="H277"/>
  <c r="H279"/>
  <c r="H281"/>
  <c r="H283"/>
  <c r="H285"/>
  <c r="H287"/>
  <c r="H289"/>
  <c r="H291"/>
  <c r="H293"/>
  <c r="H295"/>
  <c r="H300"/>
  <c r="H56"/>
  <c r="H69"/>
  <c r="H75"/>
  <c r="H83"/>
  <c r="H86"/>
  <c r="H91"/>
  <c r="H94"/>
  <c r="H99"/>
  <c r="H102"/>
  <c r="H107"/>
  <c r="H110"/>
  <c r="H115"/>
  <c r="H118"/>
  <c r="H123"/>
  <c r="H126"/>
  <c r="H131"/>
  <c r="H134"/>
  <c r="H139"/>
  <c r="H142"/>
  <c r="H147"/>
  <c r="H150"/>
  <c r="H36"/>
  <c r="H42"/>
  <c r="H47"/>
  <c r="H52"/>
  <c r="H59"/>
  <c r="H64"/>
  <c r="H79"/>
  <c r="H159"/>
  <c r="H167"/>
  <c r="H299"/>
  <c r="K37"/>
  <c r="K41"/>
  <c r="K45"/>
  <c r="K49"/>
  <c r="K53"/>
  <c r="K57"/>
  <c r="K61"/>
  <c r="K65"/>
  <c r="K69"/>
  <c r="K73"/>
  <c r="K77"/>
  <c r="K81"/>
  <c r="K85"/>
  <c r="K89"/>
  <c r="K93"/>
  <c r="K97"/>
  <c r="K101"/>
  <c r="K109"/>
  <c r="K117"/>
  <c r="K121"/>
  <c r="K125"/>
  <c r="K129"/>
  <c r="K133"/>
  <c r="K137"/>
  <c r="K141"/>
  <c r="K145"/>
  <c r="K153"/>
  <c r="K156"/>
  <c r="K158"/>
  <c r="K162"/>
  <c r="K165"/>
  <c r="K173"/>
  <c r="K180"/>
  <c r="K184"/>
  <c r="K190"/>
  <c r="K198"/>
  <c r="K202"/>
  <c r="K206"/>
  <c r="K214"/>
  <c r="K222"/>
  <c r="K230"/>
  <c r="K238"/>
  <c r="K248"/>
  <c r="K258"/>
  <c r="K270"/>
  <c r="K280"/>
  <c r="K290"/>
  <c r="K296"/>
  <c r="K48"/>
  <c r="K68"/>
  <c r="K92"/>
  <c r="K108"/>
  <c r="K116"/>
  <c r="K128"/>
  <c r="K140"/>
  <c r="K36"/>
  <c r="K40"/>
  <c r="K44"/>
  <c r="K60"/>
  <c r="K64"/>
  <c r="K80"/>
  <c r="K104"/>
  <c r="K136"/>
  <c r="K35"/>
  <c r="K39"/>
  <c r="K43"/>
  <c r="K47"/>
  <c r="K51"/>
  <c r="K55"/>
  <c r="K59"/>
  <c r="K63"/>
  <c r="K67"/>
  <c r="K71"/>
  <c r="K75"/>
  <c r="K79"/>
  <c r="K83"/>
  <c r="K87"/>
  <c r="K91"/>
  <c r="K95"/>
  <c r="K99"/>
  <c r="K103"/>
  <c r="K107"/>
  <c r="K111"/>
  <c r="K115"/>
  <c r="K119"/>
  <c r="K123"/>
  <c r="K127"/>
  <c r="K131"/>
  <c r="K135"/>
  <c r="K139"/>
  <c r="K143"/>
  <c r="K147"/>
  <c r="K151"/>
  <c r="K155"/>
  <c r="K157"/>
  <c r="K159"/>
  <c r="K161"/>
  <c r="K163"/>
  <c r="K172"/>
  <c r="K175"/>
  <c r="K169"/>
  <c r="K179"/>
  <c r="K181"/>
  <c r="K183"/>
  <c r="K185"/>
  <c r="K187"/>
  <c r="K189"/>
  <c r="K191"/>
  <c r="K193"/>
  <c r="K195"/>
  <c r="K197"/>
  <c r="K199"/>
  <c r="K201"/>
  <c r="K203"/>
  <c r="K205"/>
  <c r="K207"/>
  <c r="K209"/>
  <c r="K211"/>
  <c r="K213"/>
  <c r="K215"/>
  <c r="K217"/>
  <c r="K219"/>
  <c r="K221"/>
  <c r="K223"/>
  <c r="K225"/>
  <c r="K227"/>
  <c r="K229"/>
  <c r="K231"/>
  <c r="K233"/>
  <c r="K235"/>
  <c r="K237"/>
  <c r="K239"/>
  <c r="K241"/>
  <c r="K243"/>
  <c r="K245"/>
  <c r="K247"/>
  <c r="K249"/>
  <c r="K251"/>
  <c r="K253"/>
  <c r="K255"/>
  <c r="K257"/>
  <c r="K259"/>
  <c r="K261"/>
  <c r="K263"/>
  <c r="K265"/>
  <c r="K267"/>
  <c r="K269"/>
  <c r="K271"/>
  <c r="K273"/>
  <c r="K275"/>
  <c r="K277"/>
  <c r="K279"/>
  <c r="K281"/>
  <c r="K283"/>
  <c r="K285"/>
  <c r="K287"/>
  <c r="K289"/>
  <c r="K291"/>
  <c r="K293"/>
  <c r="K295"/>
  <c r="K297"/>
  <c r="K299"/>
  <c r="K301"/>
  <c r="K303"/>
  <c r="K105"/>
  <c r="K194"/>
  <c r="K210"/>
  <c r="K220"/>
  <c r="K226"/>
  <c r="K232"/>
  <c r="K236"/>
  <c r="K242"/>
  <c r="K244"/>
  <c r="K250"/>
  <c r="K252"/>
  <c r="K256"/>
  <c r="K262"/>
  <c r="K264"/>
  <c r="K268"/>
  <c r="K272"/>
  <c r="K276"/>
  <c r="K278"/>
  <c r="K284"/>
  <c r="K286"/>
  <c r="K292"/>
  <c r="K298"/>
  <c r="K302"/>
  <c r="K56"/>
  <c r="K76"/>
  <c r="K88"/>
  <c r="K100"/>
  <c r="K124"/>
  <c r="K148"/>
  <c r="K168"/>
  <c r="K174"/>
  <c r="K34"/>
  <c r="K38"/>
  <c r="K42"/>
  <c r="K46"/>
  <c r="K50"/>
  <c r="K54"/>
  <c r="K58"/>
  <c r="K62"/>
  <c r="K66"/>
  <c r="K70"/>
  <c r="K74"/>
  <c r="K78"/>
  <c r="K82"/>
  <c r="K86"/>
  <c r="K90"/>
  <c r="K94"/>
  <c r="K98"/>
  <c r="K102"/>
  <c r="K106"/>
  <c r="K110"/>
  <c r="K114"/>
  <c r="K118"/>
  <c r="K122"/>
  <c r="K126"/>
  <c r="K130"/>
  <c r="K134"/>
  <c r="K138"/>
  <c r="K142"/>
  <c r="K146"/>
  <c r="K150"/>
  <c r="K154"/>
  <c r="K167"/>
  <c r="K170"/>
  <c r="K178"/>
  <c r="K164"/>
  <c r="K177"/>
  <c r="K113"/>
  <c r="K149"/>
  <c r="K160"/>
  <c r="K171"/>
  <c r="K176"/>
  <c r="K182"/>
  <c r="K186"/>
  <c r="K188"/>
  <c r="K192"/>
  <c r="K196"/>
  <c r="K200"/>
  <c r="K204"/>
  <c r="K208"/>
  <c r="K212"/>
  <c r="K216"/>
  <c r="K218"/>
  <c r="K224"/>
  <c r="K228"/>
  <c r="K234"/>
  <c r="K240"/>
  <c r="K246"/>
  <c r="K254"/>
  <c r="K260"/>
  <c r="K266"/>
  <c r="K274"/>
  <c r="K282"/>
  <c r="K288"/>
  <c r="K294"/>
  <c r="K300"/>
  <c r="K52"/>
  <c r="K72"/>
  <c r="K84"/>
  <c r="K96"/>
  <c r="K112"/>
  <c r="K120"/>
  <c r="K132"/>
  <c r="K144"/>
  <c r="K152"/>
  <c r="K166"/>
  <c r="B163"/>
  <c r="I11" i="7" s="1"/>
  <c r="J11" s="1"/>
  <c r="K11" s="1"/>
  <c r="R11" s="1"/>
  <c r="B48" i="33"/>
  <c r="B73"/>
  <c r="B78"/>
  <c r="B82"/>
  <c r="B87"/>
  <c r="B91"/>
  <c r="B95"/>
  <c r="B99"/>
  <c r="B103"/>
  <c r="B107"/>
  <c r="B111"/>
  <c r="B115"/>
  <c r="B119"/>
  <c r="B123"/>
  <c r="B127"/>
  <c r="B131"/>
  <c r="B135"/>
  <c r="B36"/>
  <c r="B71"/>
  <c r="B76"/>
  <c r="B81"/>
  <c r="B86"/>
  <c r="B90"/>
  <c r="B94"/>
  <c r="B98"/>
  <c r="B102"/>
  <c r="B106"/>
  <c r="B110"/>
  <c r="B114"/>
  <c r="B118"/>
  <c r="B122"/>
  <c r="B126"/>
  <c r="B130"/>
  <c r="B134"/>
  <c r="B138"/>
  <c r="B142"/>
  <c r="B146"/>
  <c r="B150"/>
  <c r="B34"/>
  <c r="B39"/>
  <c r="B43"/>
  <c r="B47"/>
  <c r="B52"/>
  <c r="B56"/>
  <c r="B60"/>
  <c r="B65"/>
  <c r="B70"/>
  <c r="B154"/>
  <c r="B158"/>
  <c r="B162"/>
  <c r="B167"/>
  <c r="B171"/>
  <c r="B175"/>
  <c r="B179"/>
  <c r="B183"/>
  <c r="B187"/>
  <c r="B191"/>
  <c r="B195"/>
  <c r="B199"/>
  <c r="B203"/>
  <c r="B207"/>
  <c r="B211"/>
  <c r="B215"/>
  <c r="B219"/>
  <c r="B223"/>
  <c r="B227"/>
  <c r="B66"/>
  <c r="B75"/>
  <c r="B80"/>
  <c r="B85"/>
  <c r="B89"/>
  <c r="B93"/>
  <c r="B97"/>
  <c r="B101"/>
  <c r="B105"/>
  <c r="B109"/>
  <c r="B113"/>
  <c r="B117"/>
  <c r="B121"/>
  <c r="B125"/>
  <c r="B129"/>
  <c r="B133"/>
  <c r="B137"/>
  <c r="B141"/>
  <c r="B145"/>
  <c r="B149"/>
  <c r="B153"/>
  <c r="B38"/>
  <c r="B42"/>
  <c r="B46"/>
  <c r="B51"/>
  <c r="B55"/>
  <c r="B59"/>
  <c r="B64"/>
  <c r="B69"/>
  <c r="B83"/>
  <c r="B157"/>
  <c r="B161"/>
  <c r="B166"/>
  <c r="B170"/>
  <c r="B174"/>
  <c r="B178"/>
  <c r="B182"/>
  <c r="B186"/>
  <c r="B190"/>
  <c r="B194"/>
  <c r="B198"/>
  <c r="B202"/>
  <c r="B206"/>
  <c r="B210"/>
  <c r="B214"/>
  <c r="B218"/>
  <c r="B222"/>
  <c r="B226"/>
  <c r="B229"/>
  <c r="B231"/>
  <c r="B233"/>
  <c r="B235"/>
  <c r="B237"/>
  <c r="B239"/>
  <c r="B241"/>
  <c r="B243"/>
  <c r="B245"/>
  <c r="B247"/>
  <c r="B249"/>
  <c r="B251"/>
  <c r="B253"/>
  <c r="B255"/>
  <c r="B257"/>
  <c r="B259"/>
  <c r="B261"/>
  <c r="B263"/>
  <c r="B265"/>
  <c r="B267"/>
  <c r="B269"/>
  <c r="B271"/>
  <c r="B273"/>
  <c r="B275"/>
  <c r="B277"/>
  <c r="B279"/>
  <c r="B281"/>
  <c r="B283"/>
  <c r="B285"/>
  <c r="B287"/>
  <c r="B289"/>
  <c r="B291"/>
  <c r="B293"/>
  <c r="B295"/>
  <c r="B297"/>
  <c r="B299"/>
  <c r="B301"/>
  <c r="B62"/>
  <c r="B74"/>
  <c r="B79"/>
  <c r="B84"/>
  <c r="B88"/>
  <c r="B92"/>
  <c r="B96"/>
  <c r="B100"/>
  <c r="B104"/>
  <c r="B108"/>
  <c r="B112"/>
  <c r="B116"/>
  <c r="B120"/>
  <c r="B124"/>
  <c r="B128"/>
  <c r="B132"/>
  <c r="B136"/>
  <c r="B140"/>
  <c r="B144"/>
  <c r="B148"/>
  <c r="B152"/>
  <c r="B37"/>
  <c r="B41"/>
  <c r="B45"/>
  <c r="B50"/>
  <c r="B54"/>
  <c r="B58"/>
  <c r="B63"/>
  <c r="B68"/>
  <c r="B77"/>
  <c r="B156"/>
  <c r="B160"/>
  <c r="B147"/>
  <c r="B44"/>
  <c r="B61"/>
  <c r="B159"/>
  <c r="B169"/>
  <c r="B177"/>
  <c r="B185"/>
  <c r="B193"/>
  <c r="B201"/>
  <c r="B209"/>
  <c r="B217"/>
  <c r="B225"/>
  <c r="B270"/>
  <c r="B278"/>
  <c r="B286"/>
  <c r="B294"/>
  <c r="B302"/>
  <c r="B143"/>
  <c r="B40"/>
  <c r="B57"/>
  <c r="B155"/>
  <c r="B168"/>
  <c r="B176"/>
  <c r="B184"/>
  <c r="B192"/>
  <c r="B200"/>
  <c r="B208"/>
  <c r="B216"/>
  <c r="B224"/>
  <c r="B230"/>
  <c r="B234"/>
  <c r="B238"/>
  <c r="B242"/>
  <c r="B246"/>
  <c r="B250"/>
  <c r="B254"/>
  <c r="B258"/>
  <c r="B262"/>
  <c r="B266"/>
  <c r="B272"/>
  <c r="B280"/>
  <c r="B288"/>
  <c r="B296"/>
  <c r="B139"/>
  <c r="B35"/>
  <c r="B53"/>
  <c r="B72"/>
  <c r="B165"/>
  <c r="B173"/>
  <c r="B181"/>
  <c r="B189"/>
  <c r="B197"/>
  <c r="B205"/>
  <c r="B213"/>
  <c r="B221"/>
  <c r="B274"/>
  <c r="B282"/>
  <c r="B290"/>
  <c r="B298"/>
  <c r="B151"/>
  <c r="B49"/>
  <c r="B67"/>
  <c r="B164"/>
  <c r="B172"/>
  <c r="B180"/>
  <c r="B188"/>
  <c r="B196"/>
  <c r="B204"/>
  <c r="B212"/>
  <c r="B220"/>
  <c r="B228"/>
  <c r="B232"/>
  <c r="B236"/>
  <c r="B240"/>
  <c r="B244"/>
  <c r="B248"/>
  <c r="B252"/>
  <c r="B256"/>
  <c r="B260"/>
  <c r="B264"/>
  <c r="B268"/>
  <c r="B276"/>
  <c r="B284"/>
  <c r="B292"/>
  <c r="B300"/>
  <c r="B303"/>
  <c r="E37"/>
  <c r="E41"/>
  <c r="E45"/>
  <c r="E49"/>
  <c r="E53"/>
  <c r="E57"/>
  <c r="E61"/>
  <c r="E65"/>
  <c r="E69"/>
  <c r="E73"/>
  <c r="E77"/>
  <c r="E81"/>
  <c r="E85"/>
  <c r="E89"/>
  <c r="E93"/>
  <c r="E97"/>
  <c r="E101"/>
  <c r="E105"/>
  <c r="E109"/>
  <c r="E113"/>
  <c r="E117"/>
  <c r="E121"/>
  <c r="E125"/>
  <c r="E129"/>
  <c r="E133"/>
  <c r="E137"/>
  <c r="E141"/>
  <c r="E145"/>
  <c r="E149"/>
  <c r="E153"/>
  <c r="E159"/>
  <c r="E161"/>
  <c r="E163"/>
  <c r="E165"/>
  <c r="E167"/>
  <c r="E154"/>
  <c r="E214"/>
  <c r="E216"/>
  <c r="E218"/>
  <c r="E220"/>
  <c r="E222"/>
  <c r="E224"/>
  <c r="E226"/>
  <c r="E228"/>
  <c r="E230"/>
  <c r="E232"/>
  <c r="E234"/>
  <c r="E236"/>
  <c r="E238"/>
  <c r="E240"/>
  <c r="E242"/>
  <c r="E244"/>
  <c r="E246"/>
  <c r="E248"/>
  <c r="E250"/>
  <c r="E252"/>
  <c r="E254"/>
  <c r="E256"/>
  <c r="E258"/>
  <c r="E260"/>
  <c r="E262"/>
  <c r="E264"/>
  <c r="E266"/>
  <c r="E268"/>
  <c r="E270"/>
  <c r="E272"/>
  <c r="E274"/>
  <c r="E276"/>
  <c r="E278"/>
  <c r="E280"/>
  <c r="E282"/>
  <c r="E284"/>
  <c r="E286"/>
  <c r="E288"/>
  <c r="E290"/>
  <c r="E292"/>
  <c r="E294"/>
  <c r="E296"/>
  <c r="E298"/>
  <c r="E300"/>
  <c r="E302"/>
  <c r="E198"/>
  <c r="E36"/>
  <c r="E40"/>
  <c r="E44"/>
  <c r="E48"/>
  <c r="E52"/>
  <c r="E56"/>
  <c r="E60"/>
  <c r="E64"/>
  <c r="E68"/>
  <c r="E72"/>
  <c r="E76"/>
  <c r="E80"/>
  <c r="E84"/>
  <c r="E88"/>
  <c r="E92"/>
  <c r="E96"/>
  <c r="E100"/>
  <c r="E104"/>
  <c r="E108"/>
  <c r="E112"/>
  <c r="E116"/>
  <c r="E120"/>
  <c r="E124"/>
  <c r="E128"/>
  <c r="E132"/>
  <c r="E136"/>
  <c r="E140"/>
  <c r="E144"/>
  <c r="E148"/>
  <c r="E152"/>
  <c r="E156"/>
  <c r="E170"/>
  <c r="E172"/>
  <c r="E174"/>
  <c r="E176"/>
  <c r="E178"/>
  <c r="E180"/>
  <c r="E182"/>
  <c r="E184"/>
  <c r="E186"/>
  <c r="E190"/>
  <c r="E194"/>
  <c r="E196"/>
  <c r="E200"/>
  <c r="E202"/>
  <c r="E204"/>
  <c r="E206"/>
  <c r="E208"/>
  <c r="E210"/>
  <c r="E212"/>
  <c r="E157"/>
  <c r="E35"/>
  <c r="E39"/>
  <c r="E43"/>
  <c r="E47"/>
  <c r="E51"/>
  <c r="E55"/>
  <c r="E59"/>
  <c r="E63"/>
  <c r="E67"/>
  <c r="E71"/>
  <c r="E75"/>
  <c r="E79"/>
  <c r="E83"/>
  <c r="E87"/>
  <c r="E91"/>
  <c r="E95"/>
  <c r="E99"/>
  <c r="E103"/>
  <c r="E107"/>
  <c r="E111"/>
  <c r="E115"/>
  <c r="E119"/>
  <c r="E123"/>
  <c r="E127"/>
  <c r="E131"/>
  <c r="E135"/>
  <c r="E139"/>
  <c r="E143"/>
  <c r="E147"/>
  <c r="E151"/>
  <c r="E160"/>
  <c r="E162"/>
  <c r="E164"/>
  <c r="E166"/>
  <c r="E168"/>
  <c r="E215"/>
  <c r="E217"/>
  <c r="E219"/>
  <c r="E221"/>
  <c r="E223"/>
  <c r="E225"/>
  <c r="E227"/>
  <c r="E229"/>
  <c r="E231"/>
  <c r="E233"/>
  <c r="E235"/>
  <c r="E237"/>
  <c r="E239"/>
  <c r="E241"/>
  <c r="E243"/>
  <c r="E245"/>
  <c r="E247"/>
  <c r="E249"/>
  <c r="E251"/>
  <c r="E253"/>
  <c r="E255"/>
  <c r="E257"/>
  <c r="E259"/>
  <c r="E261"/>
  <c r="E263"/>
  <c r="E265"/>
  <c r="E267"/>
  <c r="E269"/>
  <c r="E271"/>
  <c r="E273"/>
  <c r="E275"/>
  <c r="E277"/>
  <c r="E279"/>
  <c r="E281"/>
  <c r="E283"/>
  <c r="E285"/>
  <c r="E287"/>
  <c r="E289"/>
  <c r="E291"/>
  <c r="E293"/>
  <c r="E295"/>
  <c r="E297"/>
  <c r="E299"/>
  <c r="E301"/>
  <c r="E303"/>
  <c r="E192"/>
  <c r="E34"/>
  <c r="E38"/>
  <c r="E42"/>
  <c r="E46"/>
  <c r="E50"/>
  <c r="E54"/>
  <c r="E58"/>
  <c r="E62"/>
  <c r="E66"/>
  <c r="E70"/>
  <c r="E74"/>
  <c r="E78"/>
  <c r="E82"/>
  <c r="E86"/>
  <c r="E90"/>
  <c r="E94"/>
  <c r="E98"/>
  <c r="E102"/>
  <c r="E106"/>
  <c r="E110"/>
  <c r="E114"/>
  <c r="E118"/>
  <c r="E122"/>
  <c r="E126"/>
  <c r="E130"/>
  <c r="E134"/>
  <c r="E138"/>
  <c r="E142"/>
  <c r="E146"/>
  <c r="E150"/>
  <c r="E155"/>
  <c r="E158"/>
  <c r="E169"/>
  <c r="E171"/>
  <c r="E173"/>
  <c r="E175"/>
  <c r="E177"/>
  <c r="E179"/>
  <c r="E181"/>
  <c r="E183"/>
  <c r="E185"/>
  <c r="E187"/>
  <c r="E189"/>
  <c r="E191"/>
  <c r="E193"/>
  <c r="E195"/>
  <c r="E197"/>
  <c r="E199"/>
  <c r="E201"/>
  <c r="E203"/>
  <c r="E205"/>
  <c r="E207"/>
  <c r="E209"/>
  <c r="E211"/>
  <c r="E213"/>
  <c r="E188"/>
  <c r="H302" l="1"/>
  <c r="H292"/>
  <c r="H284"/>
  <c r="H276"/>
  <c r="H268"/>
  <c r="H260"/>
  <c r="H252"/>
  <c r="H301"/>
  <c r="H296"/>
  <c r="H288"/>
  <c r="H280"/>
  <c r="H272"/>
  <c r="H264"/>
  <c r="H256"/>
  <c r="H248"/>
  <c r="H240"/>
  <c r="F109" i="26"/>
  <c r="G109" s="1"/>
  <c r="G110" s="1"/>
  <c r="E111" s="1"/>
  <c r="G111" s="1"/>
  <c r="G112" s="1"/>
  <c r="G113" s="1"/>
  <c r="R14" i="7"/>
  <c r="F99" i="19"/>
  <c r="G99" s="1"/>
  <c r="G100" s="1"/>
  <c r="E101" s="1"/>
  <c r="G101" s="1"/>
  <c r="G102" s="1"/>
  <c r="G103" s="1"/>
  <c r="F171" i="26"/>
  <c r="G171" s="1"/>
  <c r="F199"/>
  <c r="G199" s="1"/>
  <c r="F184"/>
  <c r="G184" s="1"/>
  <c r="I10" i="7"/>
  <c r="J10" s="1"/>
  <c r="K10" s="1"/>
  <c r="R10" s="1"/>
  <c r="F170" i="26"/>
  <c r="G170" s="1"/>
  <c r="F183"/>
  <c r="G183" s="1"/>
  <c r="F200"/>
  <c r="G200" s="1"/>
  <c r="F320" l="1"/>
  <c r="G320" s="1"/>
  <c r="F374"/>
  <c r="G374" s="1"/>
  <c r="F150"/>
  <c r="G150" s="1"/>
  <c r="F228"/>
  <c r="G228" s="1"/>
  <c r="F410"/>
  <c r="G410" s="1"/>
  <c r="F428"/>
  <c r="G428" s="1"/>
  <c r="F140"/>
  <c r="G140" s="1"/>
  <c r="R13" i="7"/>
  <c r="F356" i="26"/>
  <c r="G356" s="1"/>
  <c r="F130"/>
  <c r="G130" s="1"/>
  <c r="F160"/>
  <c r="G160" s="1"/>
  <c r="F302"/>
  <c r="G302" s="1"/>
  <c r="F284"/>
  <c r="G284" s="1"/>
  <c r="F392"/>
  <c r="G392" s="1"/>
  <c r="F338"/>
  <c r="G338" s="1"/>
</calcChain>
</file>

<file path=xl/comments1.xml><?xml version="1.0" encoding="utf-8"?>
<comments xmlns="http://schemas.openxmlformats.org/spreadsheetml/2006/main">
  <authors>
    <author>rammohan</author>
  </authors>
  <commentList>
    <comment ref="C24" authorId="0">
      <text>
        <r>
          <rPr>
            <b/>
            <sz val="8"/>
            <color indexed="81"/>
            <rFont val="Tahoma"/>
            <family val="2"/>
          </rPr>
          <t>rammohan:</t>
        </r>
        <r>
          <rPr>
            <sz val="8"/>
            <color indexed="81"/>
            <rFont val="Tahoma"/>
            <family val="2"/>
          </rPr>
          <t xml:space="preserve">
</t>
        </r>
      </text>
    </comment>
    <comment ref="C41" authorId="0">
      <text>
        <r>
          <rPr>
            <b/>
            <sz val="8"/>
            <color indexed="81"/>
            <rFont val="Tahoma"/>
            <family val="2"/>
          </rPr>
          <t>rammohan:</t>
        </r>
        <r>
          <rPr>
            <sz val="8"/>
            <color indexed="81"/>
            <rFont val="Tahoma"/>
            <family val="2"/>
          </rPr>
          <t xml:space="preserve">
</t>
        </r>
      </text>
    </comment>
    <comment ref="C58" authorId="0">
      <text>
        <r>
          <rPr>
            <b/>
            <sz val="8"/>
            <color indexed="81"/>
            <rFont val="Tahoma"/>
            <family val="2"/>
          </rPr>
          <t>rammohan:</t>
        </r>
        <r>
          <rPr>
            <sz val="8"/>
            <color indexed="81"/>
            <rFont val="Tahoma"/>
            <family val="2"/>
          </rPr>
          <t xml:space="preserve">
</t>
        </r>
      </text>
    </comment>
    <comment ref="C75" authorId="0">
      <text>
        <r>
          <rPr>
            <b/>
            <sz val="8"/>
            <color indexed="81"/>
            <rFont val="Tahoma"/>
            <family val="2"/>
          </rPr>
          <t>rammohan:</t>
        </r>
        <r>
          <rPr>
            <sz val="8"/>
            <color indexed="81"/>
            <rFont val="Tahoma"/>
            <family val="2"/>
          </rPr>
          <t xml:space="preserve">
</t>
        </r>
      </text>
    </comment>
    <comment ref="C90" authorId="0">
      <text>
        <r>
          <rPr>
            <b/>
            <sz val="8"/>
            <color indexed="81"/>
            <rFont val="Tahoma"/>
            <family val="2"/>
          </rPr>
          <t>rammohan:</t>
        </r>
        <r>
          <rPr>
            <sz val="8"/>
            <color indexed="81"/>
            <rFont val="Tahoma"/>
            <family val="2"/>
          </rPr>
          <t xml:space="preserve">
</t>
        </r>
      </text>
    </comment>
    <comment ref="C108" authorId="0">
      <text>
        <r>
          <rPr>
            <b/>
            <sz val="8"/>
            <color indexed="81"/>
            <rFont val="Tahoma"/>
            <family val="2"/>
          </rPr>
          <t>rammohan:</t>
        </r>
        <r>
          <rPr>
            <sz val="8"/>
            <color indexed="81"/>
            <rFont val="Tahoma"/>
            <family val="2"/>
          </rPr>
          <t xml:space="preserve">
</t>
        </r>
      </text>
    </comment>
    <comment ref="C125" authorId="0">
      <text>
        <r>
          <rPr>
            <b/>
            <sz val="8"/>
            <color indexed="81"/>
            <rFont val="Tahoma"/>
            <family val="2"/>
          </rPr>
          <t>rammohan:</t>
        </r>
        <r>
          <rPr>
            <sz val="8"/>
            <color indexed="81"/>
            <rFont val="Tahoma"/>
            <family val="2"/>
          </rPr>
          <t xml:space="preserve">
</t>
        </r>
      </text>
    </comment>
  </commentList>
</comments>
</file>

<file path=xl/comments2.xml><?xml version="1.0" encoding="utf-8"?>
<comments xmlns="http://schemas.openxmlformats.org/spreadsheetml/2006/main">
  <authors>
    <author>Dtpcaptain</author>
  </authors>
  <commentList>
    <comment ref="H4" authorId="0">
      <text>
        <r>
          <rPr>
            <b/>
            <sz val="9"/>
            <color indexed="81"/>
            <rFont val="Tahoma"/>
            <family val="2"/>
          </rPr>
          <t>Dtpcaptain:</t>
        </r>
        <r>
          <rPr>
            <sz val="9"/>
            <color indexed="81"/>
            <rFont val="Tahoma"/>
            <family val="2"/>
          </rPr>
          <t xml:space="preserve">
If 200 Mm dia insert Column I values 
</t>
        </r>
      </text>
    </comment>
    <comment ref="J4" authorId="0">
      <text>
        <r>
          <rPr>
            <sz val="9"/>
            <color indexed="81"/>
            <rFont val="Tahoma"/>
            <family val="2"/>
          </rPr>
          <t xml:space="preserve">
If 250 Mm dia insert Column K
 values </t>
        </r>
      </text>
    </comment>
    <comment ref="L4" authorId="0">
      <text>
        <r>
          <rPr>
            <b/>
            <sz val="9"/>
            <color indexed="81"/>
            <rFont val="Tahoma"/>
            <family val="2"/>
          </rPr>
          <t>Dtpcaptain:</t>
        </r>
        <r>
          <rPr>
            <sz val="9"/>
            <color indexed="81"/>
            <rFont val="Tahoma"/>
            <family val="2"/>
          </rPr>
          <t xml:space="preserve">
Dtpcaptain:
If 300 Mm dia insert Column M
values
 values </t>
        </r>
      </text>
    </comment>
  </commentList>
</comments>
</file>

<file path=xl/comments3.xml><?xml version="1.0" encoding="utf-8"?>
<comments xmlns="http://schemas.openxmlformats.org/spreadsheetml/2006/main">
  <authors>
    <author>Dtpcaptain</author>
  </authors>
  <commentList>
    <comment ref="H6" authorId="0">
      <text>
        <r>
          <rPr>
            <b/>
            <sz val="9"/>
            <color indexed="81"/>
            <rFont val="Tahoma"/>
            <family val="2"/>
          </rPr>
          <t>Dtpcaptain:</t>
        </r>
        <r>
          <rPr>
            <sz val="9"/>
            <color indexed="81"/>
            <rFont val="Tahoma"/>
            <family val="2"/>
          </rPr>
          <t xml:space="preserve">
If 200 Mm dia insert Column I values 
</t>
        </r>
      </text>
    </comment>
    <comment ref="J6" authorId="0">
      <text>
        <r>
          <rPr>
            <sz val="9"/>
            <color indexed="81"/>
            <rFont val="Tahoma"/>
            <family val="2"/>
          </rPr>
          <t xml:space="preserve">
If 250 Mm dia insert Column K
 values </t>
        </r>
      </text>
    </comment>
    <comment ref="L6" authorId="0">
      <text>
        <r>
          <rPr>
            <b/>
            <sz val="9"/>
            <color indexed="81"/>
            <rFont val="Tahoma"/>
            <family val="2"/>
          </rPr>
          <t>Dtpcaptain:</t>
        </r>
        <r>
          <rPr>
            <sz val="9"/>
            <color indexed="81"/>
            <rFont val="Tahoma"/>
            <family val="2"/>
          </rPr>
          <t xml:space="preserve">
Dtpcaptain:
If 300 Mm dia insert Column M
values
 values </t>
        </r>
      </text>
    </comment>
  </commentList>
</comments>
</file>

<file path=xl/comments4.xml><?xml version="1.0" encoding="utf-8"?>
<comments xmlns="http://schemas.openxmlformats.org/spreadsheetml/2006/main">
  <authors>
    <author>Author</author>
  </authors>
  <commentList>
    <comment ref="C88" authorId="0">
      <text>
        <r>
          <rPr>
            <sz val="9"/>
            <color indexed="81"/>
            <rFont val="Tahoma"/>
            <family val="2"/>
          </rPr>
          <t xml:space="preserve">
Vibratory Roller</t>
        </r>
      </text>
    </comment>
    <comment ref="C109" authorId="0">
      <text>
        <r>
          <rPr>
            <b/>
            <sz val="9"/>
            <color indexed="81"/>
            <rFont val="Tahoma"/>
            <family val="2"/>
          </rPr>
          <t>Concrete Plant</t>
        </r>
      </text>
    </comment>
  </commentList>
</comments>
</file>

<file path=xl/sharedStrings.xml><?xml version="1.0" encoding="utf-8"?>
<sst xmlns="http://schemas.openxmlformats.org/spreadsheetml/2006/main" count="5474" uniqueCount="1415">
  <si>
    <t>Add Over Heads @14%</t>
  </si>
  <si>
    <t xml:space="preserve">Total Cost Each </t>
  </si>
  <si>
    <t xml:space="preserve">Allowance Over Heads </t>
  </si>
  <si>
    <t>Water lncluding curing</t>
  </si>
  <si>
    <t>Kl</t>
  </si>
  <si>
    <t>BLD-CSTN-5-4</t>
  </si>
  <si>
    <t xml:space="preserve">                Executive.Engineer</t>
  </si>
  <si>
    <t xml:space="preserve">                  PRI  Div Hyderabad</t>
  </si>
  <si>
    <t xml:space="preserve">Woman mazdoor </t>
  </si>
  <si>
    <t>Unit</t>
  </si>
  <si>
    <t>Nos</t>
  </si>
  <si>
    <t>Unit : 1cum</t>
  </si>
  <si>
    <t>A. MATERIALS:</t>
  </si>
  <si>
    <t>kg.</t>
  </si>
  <si>
    <t>Sand (including 5% wastage)</t>
  </si>
  <si>
    <t>B. MACHINERY</t>
  </si>
  <si>
    <t>C. LABOUR:</t>
  </si>
  <si>
    <t>Man mazdoor for mixing mortar</t>
  </si>
  <si>
    <t>day</t>
  </si>
  <si>
    <t>Grand Total</t>
  </si>
  <si>
    <t>BLD-CSTN-1-4</t>
  </si>
  <si>
    <t>Cement Mortar (1 : 3)</t>
  </si>
  <si>
    <t>Net Lead charges</t>
  </si>
  <si>
    <t>Lead charges
(As per SoR)</t>
  </si>
  <si>
    <t>Metal</t>
  </si>
  <si>
    <t>Gravel &amp; Sand</t>
  </si>
  <si>
    <t>Shabad Stone</t>
  </si>
  <si>
    <t>Pipe SS NP3 600</t>
  </si>
  <si>
    <t>lead</t>
  </si>
  <si>
    <t>Bricks</t>
  </si>
  <si>
    <t>Estt. Cost Rs. :</t>
  </si>
  <si>
    <t>Add 0.50% Q.C</t>
  </si>
  <si>
    <t>Unit = 1 cum</t>
  </si>
  <si>
    <t>Man Mazdoor</t>
  </si>
  <si>
    <t>Estimated Cost Rs :</t>
  </si>
  <si>
    <t>Bricks traditional size 23 x 11 x 7 cms 2nd class</t>
  </si>
  <si>
    <t>iv</t>
  </si>
  <si>
    <t>Brick Masonry in CM (1:6) with 2nd class Bricks traditional size 23 x 11 x 7 cms</t>
  </si>
  <si>
    <t>Unit = 10 sqm</t>
  </si>
  <si>
    <t>L</t>
  </si>
  <si>
    <t>40mm HBG metal SS5, 
machine crushed</t>
  </si>
  <si>
    <t>20mm HBG SS5 M/c chips</t>
  </si>
  <si>
    <t>Gravel</t>
  </si>
  <si>
    <t>Loading charges</t>
  </si>
  <si>
    <t>un loading charges</t>
  </si>
  <si>
    <t>Index-code</t>
  </si>
  <si>
    <t>S No</t>
  </si>
  <si>
    <t>Rate Rs.</t>
  </si>
  <si>
    <t>Amount Rs.</t>
  </si>
  <si>
    <t>BLD-CSTN-1</t>
  </si>
  <si>
    <t>MORTARS</t>
  </si>
  <si>
    <t>BLD-CSTN-1-5</t>
  </si>
  <si>
    <t>Cement Mortar (1 : 4)</t>
  </si>
  <si>
    <t>BLD-CSTN-1-7</t>
  </si>
  <si>
    <t>Cement Mortar (1 : 6)</t>
  </si>
  <si>
    <t xml:space="preserve">No </t>
  </si>
  <si>
    <t>Taking output : 1 cum</t>
  </si>
  <si>
    <t>Taking output : 6 cum</t>
  </si>
  <si>
    <t xml:space="preserve">Sand for filling </t>
  </si>
  <si>
    <t xml:space="preserve">Man hole Up to 1.00 M Depth </t>
  </si>
  <si>
    <t xml:space="preserve">Man hole Up to 1.10 M Depth </t>
  </si>
  <si>
    <t xml:space="preserve">Man hole Up to 1.20 M Depth </t>
  </si>
  <si>
    <t xml:space="preserve">Man hole Up to 1.30 M Depth </t>
  </si>
  <si>
    <t xml:space="preserve">Man hole Up to 1.40 M Depth </t>
  </si>
  <si>
    <t xml:space="preserve">Man hole Up to 1.50 M Depth </t>
  </si>
  <si>
    <t xml:space="preserve">Man hole Up to 1.60 M Depth </t>
  </si>
  <si>
    <t xml:space="preserve">Man hole Up to 1.70 M Depth </t>
  </si>
  <si>
    <t xml:space="preserve">Man hole Up to 1.80 M Depth </t>
  </si>
  <si>
    <t>BLD-CSTN-2-3</t>
  </si>
  <si>
    <t>PCC Grade M15 - Nominal mix 1:2.5:5 (Hand mixing)</t>
  </si>
  <si>
    <t>A) Material</t>
  </si>
  <si>
    <t>40 mm aggregate</t>
  </si>
  <si>
    <t>20 mm aggregate</t>
  </si>
  <si>
    <t>10 mm aggregate</t>
  </si>
  <si>
    <t xml:space="preserve">B) Labour </t>
  </si>
  <si>
    <t>Mason (1st Class)</t>
  </si>
  <si>
    <t xml:space="preserve"> Initial Socket Spigot NP2 Pipes 450 mm Dia </t>
  </si>
  <si>
    <t xml:space="preserve">450 mm dia </t>
  </si>
  <si>
    <t xml:space="preserve">500 mm dia </t>
  </si>
  <si>
    <t xml:space="preserve">600 mm dia </t>
  </si>
  <si>
    <t>Provision for VAT @4%</t>
  </si>
  <si>
    <t xml:space="preserve">Lakhs </t>
  </si>
  <si>
    <t>BLD-CSTN-1-8</t>
  </si>
  <si>
    <t>Cement Mortar (1 : 8)</t>
  </si>
  <si>
    <t>BLD-CSTN-2-1</t>
  </si>
  <si>
    <t>Fine aggregate (Sand)</t>
  </si>
  <si>
    <t>B. LABOUR:</t>
  </si>
  <si>
    <t>Mazdoor (unskilled)</t>
  </si>
  <si>
    <t>Concrete Mixer 10 / 7 cft (0.2 / 0.8 cum) capacity</t>
  </si>
  <si>
    <t>hour</t>
  </si>
  <si>
    <t>Unit = 1cum</t>
  </si>
  <si>
    <t>kg</t>
  </si>
  <si>
    <t>Mazdoor (Unskilled)</t>
  </si>
  <si>
    <t xml:space="preserve">Coarse aggregate 40 mm </t>
  </si>
  <si>
    <t>Mandal :</t>
  </si>
  <si>
    <t>Sub-Division :</t>
  </si>
  <si>
    <t>t</t>
  </si>
  <si>
    <t>Quantity</t>
  </si>
  <si>
    <t>B</t>
  </si>
  <si>
    <t>Sl. No.</t>
  </si>
  <si>
    <t>Description</t>
  </si>
  <si>
    <t>S.No.</t>
  </si>
  <si>
    <t xml:space="preserve">Unit </t>
  </si>
  <si>
    <t>Lead in KM</t>
  </si>
  <si>
    <t>Initial 
Cost</t>
  </si>
  <si>
    <t>Convey-ance Charges</t>
  </si>
  <si>
    <t>Total</t>
  </si>
  <si>
    <t>Cement</t>
  </si>
  <si>
    <t>-</t>
  </si>
  <si>
    <t>Cum</t>
  </si>
  <si>
    <t>DETAILED ESTIMATE</t>
  </si>
  <si>
    <t>Unit : 1 cum</t>
  </si>
  <si>
    <t>Taking output : 10 cum</t>
  </si>
  <si>
    <t>a) Labour</t>
  </si>
  <si>
    <t>Mazdoor ( Unskilled)</t>
  </si>
  <si>
    <t>Add 75% for foundations</t>
  </si>
  <si>
    <t xml:space="preserve">Cost for 10 cum </t>
  </si>
  <si>
    <t>Rate per 1cum</t>
  </si>
  <si>
    <t xml:space="preserve">Rate per 1 cum </t>
  </si>
  <si>
    <t xml:space="preserve">Rate per 6 cum </t>
  </si>
  <si>
    <t>B. LABOUR</t>
  </si>
  <si>
    <t>Mason 2nd class</t>
  </si>
  <si>
    <t xml:space="preserve">Nos </t>
  </si>
  <si>
    <t>Local</t>
  </si>
  <si>
    <t>Quarry</t>
  </si>
  <si>
    <t>kgs</t>
  </si>
  <si>
    <t>BLD-CSTN-2-8 
Amnedment A(2)</t>
  </si>
  <si>
    <t xml:space="preserve">Water for Curing </t>
  </si>
  <si>
    <t>BMW-I.89</t>
  </si>
  <si>
    <t>BMW-I.88</t>
  </si>
  <si>
    <t>m</t>
  </si>
  <si>
    <t>Supply of SWG SP-1 pipe conforming to ISI 651 - 4" dia (101.6mm)</t>
  </si>
  <si>
    <t>Supply of SWG SP-1 pipe conforming to ISI 651 - 6" dia (152.4mm)</t>
  </si>
  <si>
    <t>Supply of SWG SP-1 pipe conforming to ISI 651 - 8" dia (203.2mm)</t>
  </si>
  <si>
    <t>Constructon  of  1.0 M   Circular Sewer Man hole of 1.20 mts x 0.55 m of 1.0 M depths with Fly ash cement  sloid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 0.70  m, 0.80m ,0.90m 1.0m ,1..50 m ,1.70m ,2.0m  depths</t>
  </si>
  <si>
    <t>RS 45.00</t>
  </si>
  <si>
    <t xml:space="preserve">Man hole Up to 0.60 M Depth </t>
  </si>
  <si>
    <t xml:space="preserve">Man hole Up to 1.90 M Depth </t>
  </si>
  <si>
    <t xml:space="preserve">Man hole Up to 2.0 M Depth </t>
  </si>
  <si>
    <r>
      <t xml:space="preserve">                                   The above administratively sanctioned  for  </t>
    </r>
    <r>
      <rPr>
        <b/>
        <sz val="10"/>
        <rFont val="Trebuchet MS"/>
        <family val="2"/>
      </rPr>
      <t xml:space="preserve">Rs 2.00  lakhs vide Procdg No GP Resulation of GP _________________ under GP Grant . </t>
    </r>
    <r>
      <rPr>
        <sz val="10"/>
        <rFont val="Trebuchet MS"/>
        <family val="2"/>
      </rPr>
      <t xml:space="preserve">Accordingly the detailed estimate is prepared  for  laying of Under ground  pipe line of 600 mm dia suitable popualtion of _____  as per the census 2001   and designed for period of 20 years period </t>
    </r>
  </si>
  <si>
    <t>MANUFACTURE, SUPPLY AND DELIVERY OF R.C.C. SOCKET AND SPIGOT PIPESOF 600 MM DIA  CONFORMING TO B.I.S. 458/2003 AT EX-FACTORY (RATE PER METER OF EFFECTIVE LENGTH) EXCLUDING TRANSPORTATION, TAXES &amp; DUTIES. Of Non Pressure pipes</t>
  </si>
  <si>
    <t xml:space="preserve">2.00 Lakhs </t>
  </si>
  <si>
    <t xml:space="preserve">Filling excavated  trenches ,with excavated soils in layers 15 cm thick consolidatiing each depposited layer by watering and rampping including cost and conveyance of water  to work site and all operational incidental ,labour charges hire charges and T &amp; O Complete for finished item </t>
  </si>
  <si>
    <t>Provision for  QC charges @ 0.5%</t>
  </si>
  <si>
    <t>Supply of SWG SP-1 pipe conforming to ISI 651 - 10" dia (254mm)</t>
  </si>
  <si>
    <t>Supply of SWG SP-1 pipe conforming to ISI 651-1'0'' dia (300mm)</t>
  </si>
  <si>
    <t>Supply of SWG SP-1 pipe conforming to ISI 651-14" dia (350mm)</t>
  </si>
  <si>
    <t>External Plastering in CM(1:4) of 12 mm thick vertical portion PIx1.36x0..10=0.43</t>
  </si>
  <si>
    <t>Internal Plastering in CM(1:4) of 20 mm thick uniform portion PIx0.90x0.10=0.283</t>
  </si>
  <si>
    <t>Constructon  of  0.90 M   Circular Sewer Man hole of 0.90 mts x 0.55 m of 1.0 M depths with 2 nd Class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</si>
  <si>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 xml:space="preserve"> Additional manhole 0.10 mt depth constructon  of 1.20 circular sewer man hole of 1.0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</si>
  <si>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 xml:space="preserve">Item no
</t>
  </si>
  <si>
    <t xml:space="preserve"> Page no</t>
  </si>
  <si>
    <t xml:space="preserve">Earth work excavation and depositing on bank with initial lead of 10m and initial lift of 2m in Loamy and Clayey Soils like B.C. Soils, red earth &amp; Ordinary Gravel (SS 20-B) including shoring, strutting, sheeting, planking and dewatering including cost of hire charges of T &amp; P, labour charges etc., complete for finished item of work for Foundation of Building.(APSS No. 308) </t>
  </si>
  <si>
    <t>Rs</t>
  </si>
  <si>
    <t>BLD-CSTN-2-8</t>
  </si>
  <si>
    <t>Description of item</t>
  </si>
  <si>
    <t>Nos.</t>
  </si>
  <si>
    <t>Measurements</t>
  </si>
  <si>
    <t>Qty</t>
  </si>
  <si>
    <t>Rate/Per</t>
  </si>
  <si>
    <t>Total Amount</t>
  </si>
  <si>
    <t>D</t>
  </si>
  <si>
    <t>x</t>
  </si>
  <si>
    <t>Cum.</t>
  </si>
  <si>
    <t>per Rm</t>
  </si>
  <si>
    <t>`</t>
  </si>
  <si>
    <t>BLD-CSTN-2-4</t>
  </si>
  <si>
    <t>Ordinory Rock not requireing blasting ManualMeans Upto 3.00 mdept</t>
  </si>
  <si>
    <t>Ordinory Rock not requireing blasting Mechanical Means Upto 3.00 mdept</t>
  </si>
  <si>
    <t>Constructon  of  0.75 M   Circular Sewer Man hole of 0.75 mts x 0.55 m of 0.75 M depths with 2 nd Class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</si>
  <si>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CC in cm( 1:4:8) PI/4x1.65x1.65x0.10=0.213</t>
  </si>
  <si>
    <t>Brick Masonory work  in cm (1: 6) )portion for Uniform Section PIx1.13x0.23x0.10</t>
  </si>
  <si>
    <t xml:space="preserve">D E T A I L E D     D A T A S  </t>
  </si>
  <si>
    <t>PHE-LJSW-13</t>
  </si>
  <si>
    <t>Lowering and laying in ready made trench true to alignment and gradient, jointing, and testing of stone ware pipes including cost of jointing material such as cement mortar (1:1) proportion   and hemp yarn but excluding cost and conveyance of pipe. (Reference to specifications BIS No. 6530/72)</t>
  </si>
  <si>
    <t>Detail cost for 30 meters</t>
  </si>
  <si>
    <t>i</t>
  </si>
  <si>
    <t xml:space="preserve">100 mm dia                                                                            </t>
  </si>
  <si>
    <t>(a) Labour</t>
  </si>
  <si>
    <t>Woman mazdoor (Water carrier)</t>
  </si>
  <si>
    <t>100 mm dia SW pipe 60cm long</t>
  </si>
  <si>
    <t>each/rm</t>
  </si>
  <si>
    <t>Cement for 50 joints =0.045 cum</t>
  </si>
  <si>
    <t>t/kg</t>
  </si>
  <si>
    <t>Sand = 0.045 cum</t>
  </si>
  <si>
    <t>Spun yarn = 0.09x50=4.50</t>
  </si>
  <si>
    <t>(c) Total = a+b</t>
  </si>
  <si>
    <t>(d) Add for water charges @ 1% on Labour &amp; Testing Charges</t>
  </si>
  <si>
    <t>(e) Total = c+d</t>
  </si>
  <si>
    <t>(f) Overheads &amp; Contractors Profit</t>
  </si>
  <si>
    <t>(g) Cost for 30 m (e+f)</t>
  </si>
  <si>
    <t xml:space="preserve">Rate per metre = g/30 </t>
  </si>
  <si>
    <t>ii</t>
  </si>
  <si>
    <t xml:space="preserve">150 mm dia                                                                            </t>
  </si>
  <si>
    <t>150 mm dia SW pipe 60cm long</t>
  </si>
  <si>
    <t>iii</t>
  </si>
  <si>
    <t xml:space="preserve">200 mm dia                                                                            </t>
  </si>
  <si>
    <t>Fly ash Brick Masonory work ( Cement Bricks ) in cm (1: 6) )portion for Uniform Section PI*1.43*0.23*0.10=0.103</t>
  </si>
  <si>
    <t>200 mm dia SW pipe 60cm long</t>
  </si>
  <si>
    <t xml:space="preserve">230 mm dia                                                                            </t>
  </si>
  <si>
    <t>230 mm dia SW pipe 60cm long</t>
  </si>
  <si>
    <t>v</t>
  </si>
  <si>
    <t>CC in cm( 1:4:8) PI/4x1.35x1.35x 0.10=0.143</t>
  </si>
  <si>
    <t>External Plastering in CM(1:4) of 12 mm thick vertical portion  PI()1.21*0.10=0.38</t>
  </si>
  <si>
    <t>Internal Plastering in CM(1:4) of 20 mm thick uniform portion PI*1.21*.10=0.236</t>
  </si>
  <si>
    <t xml:space="preserve">Man hole Up to 0.75 M Depth </t>
  </si>
  <si>
    <t xml:space="preserve">Man hole Up to 0.65  M Depth </t>
  </si>
  <si>
    <t xml:space="preserve">Man hole Up to 0.55 M Depth </t>
  </si>
  <si>
    <t xml:space="preserve">Man hole Up to 0.45 M Depth </t>
  </si>
  <si>
    <t xml:space="preserve">Man hole Up to 0.30 M Depth </t>
  </si>
  <si>
    <t xml:space="preserve">Man hole Up to 0.85 M Depth </t>
  </si>
  <si>
    <t xml:space="preserve">Man hole Up to 1.05 M Depth </t>
  </si>
  <si>
    <t xml:space="preserve">Man hole Up to 1.4 M Depth </t>
  </si>
  <si>
    <t xml:space="preserve">250 mm dia                                                                            </t>
  </si>
  <si>
    <t>250 mm dia SW pipe 60cm long</t>
  </si>
  <si>
    <t xml:space="preserve">300 mm dia                                                                            </t>
  </si>
  <si>
    <t>300 mm dia SW pipe 60cm long</t>
  </si>
  <si>
    <t xml:space="preserve">350 mm dia                                                                            </t>
  </si>
  <si>
    <t>350 mm dia SW pipe 60cm long</t>
  </si>
  <si>
    <t xml:space="preserve">400 mm dia                                                                            </t>
  </si>
  <si>
    <t>400 mm dia SW pipe 60cm long</t>
  </si>
  <si>
    <t xml:space="preserve">450 mm dia                                                                            </t>
  </si>
  <si>
    <t>450 mm dia SW pipe 60cm long</t>
  </si>
  <si>
    <t>1 Sqm</t>
  </si>
  <si>
    <t>Suply and fixing of CI Steps</t>
  </si>
  <si>
    <t>Each</t>
  </si>
  <si>
    <t>Fixing charges of Manhole Frame</t>
  </si>
  <si>
    <t>Rate for 0.10meters  depth</t>
  </si>
  <si>
    <t xml:space="preserve">b) Machinory </t>
  </si>
  <si>
    <t xml:space="preserve">Hydraulic Excavator </t>
  </si>
  <si>
    <t>Hr</t>
  </si>
  <si>
    <t>Taking output : 180 cum</t>
  </si>
  <si>
    <t xml:space="preserve">Rate per 180 cum </t>
  </si>
  <si>
    <t>Cutting road surface including stacking of excavated materials for pipe line trench work.</t>
  </si>
  <si>
    <t>Rate per 1  Sqm</t>
  </si>
  <si>
    <t>B) Cutting open C.C. road surface</t>
  </si>
  <si>
    <t>Rate per M</t>
  </si>
  <si>
    <t xml:space="preserve">SS PIPES </t>
  </si>
  <si>
    <t>PHE-LRCS-6</t>
  </si>
  <si>
    <t>Lowering the RCC S/S pipes carefully into the trenches laying them true to alignment and gradient, jointing with rubber rings and testing including filling with water with a water lead upto 500 meters including cost of rubber rings as per BIS No. 783/1985</t>
  </si>
  <si>
    <t>Unit= 1 rmt</t>
  </si>
  <si>
    <t>a)     Labour</t>
  </si>
  <si>
    <t>Man mazdoor</t>
  </si>
  <si>
    <t>Woman mazdoor(water carrier)</t>
  </si>
  <si>
    <t xml:space="preserve">b) Material </t>
  </si>
  <si>
    <t>Rubber rings conforming BIS 5382/1985</t>
  </si>
  <si>
    <t>each</t>
  </si>
  <si>
    <t>c) Testing</t>
  </si>
  <si>
    <t xml:space="preserve">Testing of Pipelines with required pressure as per relevant IS Specification including filling with water with a water lead upto 500 M, including hire charges of testing equipment, labour and Materials needed for testing (as per Sub Analysis 2 A) </t>
  </si>
  <si>
    <t>rm</t>
  </si>
  <si>
    <t>(d) Total = a+b+c</t>
  </si>
  <si>
    <t>(e) Add for water charges @ 1% on Labour &amp; Testing Charges</t>
  </si>
  <si>
    <t>(f) Total = d+e</t>
  </si>
  <si>
    <t>(g) Overheads &amp; Contractors Profit</t>
  </si>
  <si>
    <t>(h) Cost for 100 rmt (f+g)</t>
  </si>
  <si>
    <t>Rate per rmt = h/100</t>
  </si>
  <si>
    <t>vi</t>
  </si>
  <si>
    <t xml:space="preserve">250 mm dia </t>
  </si>
  <si>
    <t>vii</t>
  </si>
  <si>
    <t xml:space="preserve">300 mm dia </t>
  </si>
  <si>
    <t>viii</t>
  </si>
  <si>
    <t xml:space="preserve">350 mm dia </t>
  </si>
  <si>
    <t>ix</t>
  </si>
  <si>
    <t xml:space="preserve">400 mm dia </t>
  </si>
  <si>
    <t xml:space="preserve">SWG Pipes </t>
  </si>
  <si>
    <t xml:space="preserve">S/D of SWG Pipes </t>
  </si>
  <si>
    <t>Initial rate
Excluding  S/C</t>
  </si>
  <si>
    <t>SPECIFICATION REPORT</t>
  </si>
  <si>
    <t xml:space="preserve">Man mazdoor </t>
  </si>
  <si>
    <t xml:space="preserve">Gravel for filling </t>
  </si>
  <si>
    <t>BLD-CSTN-3-5</t>
  </si>
  <si>
    <t>BLD-CSTN-3-7</t>
  </si>
  <si>
    <t xml:space="preserve">Rate per Each Man hole </t>
  </si>
  <si>
    <t>External Plastering in CM(1:4) of 12 mm thick vertical portion PI*1.66*0.10=0.52</t>
  </si>
  <si>
    <t>Internal Plastering in CM(1:4) of 20 mm thick uniform portion PI*1.20*.10=0.377</t>
  </si>
  <si>
    <t>BLD-CSTN-6-18</t>
  </si>
  <si>
    <t>Ground Floor</t>
  </si>
  <si>
    <t>Cost of Cement Mortar (1:6)</t>
  </si>
  <si>
    <t>Mason 1st class</t>
  </si>
  <si>
    <t>Woman Mazdoor</t>
  </si>
  <si>
    <t>BMT-A.07</t>
  </si>
  <si>
    <t>BLD-CSTN-6-2</t>
  </si>
  <si>
    <t>Plastering with CM (1:4), 12 mm thick</t>
  </si>
  <si>
    <t>Cement Mortar (1:4)</t>
  </si>
  <si>
    <t>BLD-CSTN-6-7</t>
  </si>
  <si>
    <t>Plastering with CM (1:4), 20 mm thick</t>
  </si>
  <si>
    <t>BASIC COST per 10 Sqm</t>
  </si>
  <si>
    <t>Government of Andhrapradesh</t>
  </si>
  <si>
    <t>Panchayat Raj Department</t>
  </si>
  <si>
    <t>cum</t>
  </si>
  <si>
    <t>a</t>
  </si>
  <si>
    <t>b</t>
  </si>
  <si>
    <t>c</t>
  </si>
  <si>
    <t>Rate</t>
  </si>
  <si>
    <t xml:space="preserve"> </t>
  </si>
  <si>
    <t>Rate per 10 Sqm</t>
  </si>
  <si>
    <t>BASIC COST per Cum</t>
  </si>
  <si>
    <t xml:space="preserve">Rate Man hole for Different Heights </t>
  </si>
  <si>
    <t xml:space="preserve">Man hole Up to 0.90 M Depth </t>
  </si>
  <si>
    <t xml:space="preserve">Man hole Up to 0.80 M Depth </t>
  </si>
  <si>
    <t xml:space="preserve">Man hole Up to 0.700 M Depth </t>
  </si>
  <si>
    <t xml:space="preserve">Man hole Up to 0.600 M Depth </t>
  </si>
  <si>
    <t xml:space="preserve">Man hole Up to 0..5000 M Depth </t>
  </si>
  <si>
    <t xml:space="preserve">Man hole Up to 0.400 M Depth </t>
  </si>
  <si>
    <t>Manufacture as per BIS:12592 (Part 1&amp;2) Supply &amp; Delivery of manhole covers and frames with ISI marking anywhere in A.P., F.O.R. destination including, loading, un-loading &amp; stacking at site but excluding central excise duty, sales tax, octroi and other Govt levies etc., as applicable. I.S.I Mark</t>
  </si>
  <si>
    <t>H.D.-20 with 500mm dia clear opening</t>
  </si>
  <si>
    <t>1000 Nos</t>
  </si>
  <si>
    <t>Muncipal allowance</t>
  </si>
  <si>
    <t xml:space="preserve">MA </t>
  </si>
  <si>
    <t>OH</t>
  </si>
  <si>
    <t xml:space="preserve">1) This to certify that the proposed leads over and above initial 1kM </t>
  </si>
  <si>
    <t xml:space="preserve">2) This to certify that the proposed leads of the work is true and nearet to the best of my knowledge </t>
  </si>
  <si>
    <t xml:space="preserve">3) This to certified that the stone requires blasting  </t>
  </si>
  <si>
    <t>4) This to certified that the proposed work is located with in the Muncipal limits  of 12KM</t>
  </si>
  <si>
    <t xml:space="preserve">Add Mucipal Limits </t>
  </si>
  <si>
    <t xml:space="preserve">Rate per 10 cum </t>
  </si>
  <si>
    <t>Rate Per 10Cum</t>
  </si>
  <si>
    <t>g</t>
  </si>
  <si>
    <t xml:space="preserve">Add Seignarage Charges </t>
  </si>
  <si>
    <t>For Metal</t>
  </si>
  <si>
    <t xml:space="preserve">For Sand </t>
  </si>
  <si>
    <t xml:space="preserve">For Bricks </t>
  </si>
  <si>
    <t xml:space="preserve"> Additional manhole 0.10 mt depth constructon  of 0.75 circular sewer man hole of 0.75 mts depth with 2nd Class modulor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</si>
  <si>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 xml:space="preserve"> Brick Masonory work  in cm (1: 6) )Prop using 2nd class bricks for Carbelling Portion Pix(1.13+0.78)/2x0.23x0.70=0.483</t>
  </si>
  <si>
    <t>Cement   for  PCC (1:4:8) PI/4x1.95x1.95x0.10=0.298</t>
  </si>
  <si>
    <t>10 Sqm</t>
  </si>
  <si>
    <t>PSSR  25 (a)</t>
  </si>
  <si>
    <t>A  Cutting open B.T. road surface (as well as asphalt concrete upto 75 mm thick) including water bound macadam</t>
  </si>
  <si>
    <t xml:space="preserve">Brick Masonory in cm (1: 6) )portion using 2nd class bricks for  PIx0.98x0.23x0.30= 0.213 Dedcut Pipe Portion PI/4*0.23*0.23*0.23*2 =0.019 i.e 0.213-0.019=0.19
</t>
  </si>
  <si>
    <t xml:space="preserve"> Brick Masonory in cm (1: 6) )portion using 2nd class bricks for Carbelling Portion PI*(0.98+0.78)/2*0.23*0.45=0.286</t>
  </si>
  <si>
    <t>Internal Plastering in CM(1:4) of 20 mm thick uniform portionPI()*0.75*0.3 =0.707,  PI*(0.75+0.50)/2*0.52=1.031-PI/4*.20*.20*2=0.062  (0.707+1.02-0.062)=1.66</t>
  </si>
  <si>
    <t>CC Channeling with (1:2.5:5) Prop  PI/4*0.75*.75*.23 =0.101 over Manhole alround for Cover PI*0.81*0.15*0.10=0.038 deduct Channel 0.75*0.2*.23 =0.0345 (0.101+0.038-0.0345=0.10)</t>
  </si>
  <si>
    <t>Brick Masonory in cm (1: 6) )portion using 2nd class for PI..98*.23*.10=0.071</t>
  </si>
  <si>
    <t>Brick Masonory in cm (1: 6) Prop using 2nd class bricks for Uniform Section PIx1.13x0.23x0.30-PI/4*0.28*0.28*.23=(0.245-0.028)</t>
  </si>
  <si>
    <t>CC Channeling with (1:2.5:5) Prop  PIx0.9x0.9x0.20/4 =0.13 over Manhole alround for Cover PIx0.81x0.15x0.10=0.038 deduct Channel 0.90x0.25x0.25=0.056</t>
  </si>
  <si>
    <t xml:space="preserve">Cement for Fly Brick Masonory work ( Cement Bricks ) in cm (1: 6) )portion for Carbelling Portion PI()*(1.43+0.73)/2*0.23*0.70   =0.54
</t>
  </si>
  <si>
    <t xml:space="preserve"> External Plastering in CM(1:4) of 12 mm thick vertical portion PI()*1.65*0.30= 1.56 and sloped portion PI()*(1.65+1.0)/2*0.70 =2.92 Dedcut Pipe Portion 2*PI()/4*0.33*0.33= 0.17 (1.56+2.92-0.17 =4.31)</t>
  </si>
  <si>
    <t>Internal Plastering in CM(1:4) of 20 mm thick uniform portion PI*1.20*0.30=1.13 and Sloped Portion PI()*(1.20+0.55)/2*0.77 =2.11 Dedcut Pipe Portion 2*PI()/4*0.30*0.30=0.14 (1.13+2.11-0.14=3.10)</t>
  </si>
  <si>
    <t>RS</t>
  </si>
  <si>
    <t>Ra</t>
  </si>
  <si>
    <r>
      <t>Earthwork in excavation for structures as per drawing and technical specifications Clause 305.1</t>
    </r>
    <r>
      <rPr>
        <sz val="10"/>
        <rFont val="Cambria"/>
        <family val="1"/>
      </rPr>
      <t xml:space="preserve"> including setting out, construction of shoring and bracing, removal of stumps and other deleterious material and disposal upto a lead of 50 m, dressing of sides and bottom and backfilling in trenches with excavated suitable material as per Technical Specification</t>
    </r>
    <r>
      <rPr>
        <b/>
        <sz val="10"/>
        <rFont val="Cambria"/>
        <family val="1"/>
      </rPr>
      <t xml:space="preserve"> 305 MORD / 304 MORTH</t>
    </r>
  </si>
  <si>
    <r>
      <t>Supplying and filling sand in trenches ,sides of the foundations</t>
    </r>
    <r>
      <rPr>
        <sz val="10"/>
        <rFont val="Cambria"/>
        <family val="1"/>
      </rPr>
      <t xml:space="preserve"> and basement with initial lead in layers not exceeding 15 cm thick consolidatiing each depposited layer by watering and rampping including cost and conveyance of water  to work site and all operational incidental ,labour charges hire charges and T &amp; O Complete for finished item</t>
    </r>
    <r>
      <rPr>
        <b/>
        <sz val="10"/>
        <rFont val="Cambria"/>
        <family val="1"/>
      </rPr>
      <t xml:space="preserve"> APSS 309 &amp;310)  </t>
    </r>
  </si>
  <si>
    <r>
      <t>Supplying and filling gravel</t>
    </r>
    <r>
      <rPr>
        <sz val="10"/>
        <rFont val="Cambria"/>
        <family val="1"/>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0"/>
        <rFont val="Cambria"/>
        <family val="1"/>
      </rPr>
      <t xml:space="preserve">APSS 309 &amp;310)  </t>
    </r>
  </si>
  <si>
    <r>
      <t xml:space="preserve">Plain Cement concrete (1:4:8) </t>
    </r>
    <r>
      <rPr>
        <sz val="10"/>
        <rFont val="Cambria"/>
        <family val="1"/>
      </rPr>
      <t>using 40 mm metal with concrete mixture.           All work upto plinth level.</t>
    </r>
  </si>
  <si>
    <r>
      <t>Mason 1</t>
    </r>
    <r>
      <rPr>
        <vertAlign val="superscript"/>
        <sz val="10"/>
        <rFont val="Cambria"/>
        <family val="1"/>
      </rPr>
      <t>st</t>
    </r>
    <r>
      <rPr>
        <sz val="10"/>
        <rFont val="Cambria"/>
        <family val="1"/>
      </rPr>
      <t xml:space="preserve"> class</t>
    </r>
  </si>
  <si>
    <r>
      <t xml:space="preserve">Plain Cement concrete (1:5:10) using 40 mm metal </t>
    </r>
    <r>
      <rPr>
        <sz val="10"/>
        <rFont val="Cambria"/>
        <family val="1"/>
      </rPr>
      <t>with Concrete mixture.  All work upto plinth level.</t>
    </r>
  </si>
  <si>
    <r>
      <t>Mason 2</t>
    </r>
    <r>
      <rPr>
        <vertAlign val="superscript"/>
        <sz val="10"/>
        <rFont val="Cambria"/>
        <family val="1"/>
      </rPr>
      <t>nd</t>
    </r>
    <r>
      <rPr>
        <sz val="10"/>
        <rFont val="Cambria"/>
        <family val="1"/>
      </rPr>
      <t xml:space="preserve"> class</t>
    </r>
  </si>
  <si>
    <r>
      <t>External Plastering in CM(1:4) of 12 mm thick vertical portion PIx1.36x0.30=1.28 and sloped portion Pix(1.36+1.01)/2x0.70 =2.66 Dedcut Pipe Portion 2xPI()/4x</t>
    </r>
    <r>
      <rPr>
        <b/>
        <sz val="10"/>
        <rFont val="Cambria"/>
        <family val="1"/>
      </rPr>
      <t>0.28x0.28</t>
    </r>
    <r>
      <rPr>
        <sz val="10"/>
        <rFont val="Cambria"/>
        <family val="1"/>
      </rPr>
      <t>=0.123</t>
    </r>
  </si>
  <si>
    <r>
      <t>Internal Plastering in CM(1:4) of 20 mm thick uniform portion PIx0.90x0.30=0.848 and Sloped Portion Pix(0.90+0.55)/2x0.770 =1.75 Dedcut Pipe Portion 2xPI()/4</t>
    </r>
    <r>
      <rPr>
        <b/>
        <sz val="10"/>
        <rFont val="Cambria"/>
        <family val="1"/>
      </rPr>
      <t>x0.25x0.25</t>
    </r>
    <r>
      <rPr>
        <sz val="10"/>
        <rFont val="Cambria"/>
        <family val="1"/>
      </rPr>
      <t>=0.09  (0.848+1.75-0.09=2.50)</t>
    </r>
  </si>
  <si>
    <r>
      <t xml:space="preserve"> Additional manhole 0.10 M depth constructon  of 0.90 circular sewer man hole of 0.90 mts depth with  </t>
    </r>
    <r>
      <rPr>
        <b/>
        <sz val="10"/>
        <rFont val="Cambria"/>
        <family val="1"/>
      </rPr>
      <t>2nd Class bricks</t>
    </r>
    <r>
      <rPr>
        <sz val="10"/>
        <rFont val="Cambria"/>
        <family val="1"/>
      </rPr>
      <t xml:space="preserve">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r>
  </si>
  <si>
    <r>
      <t xml:space="preserve">Constructon  of  1.20 M   Circular Sewer Man hole of 1.20 mts x 0.55 m of 1.0 M depths </t>
    </r>
    <r>
      <rPr>
        <sz val="10"/>
        <rFont val="Cambria"/>
        <family val="1"/>
      </rPr>
      <t xml:space="preserve"> with  </t>
    </r>
    <r>
      <rPr>
        <b/>
        <sz val="10"/>
        <rFont val="Cambria"/>
        <family val="1"/>
      </rPr>
      <t xml:space="preserve">Fly ash   bricks </t>
    </r>
    <r>
      <rPr>
        <sz val="10"/>
        <rFont val="Cambria"/>
        <family val="1"/>
      </rPr>
      <t>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r>
  </si>
  <si>
    <r>
      <t>Cement for Fly Brick Masonory work ( Cement Bricks ) in cm (1: 6) )portion for Uniform Section PI()*1.43*0.23*0.30=0.31 Dedcut Pipe Portion 2*PI()/4*</t>
    </r>
    <r>
      <rPr>
        <b/>
        <sz val="10"/>
        <color indexed="10"/>
        <rFont val="Cambria"/>
        <family val="1"/>
      </rPr>
      <t>0.33*0.33</t>
    </r>
    <r>
      <rPr>
        <sz val="10"/>
        <rFont val="Cambria"/>
        <family val="1"/>
      </rPr>
      <t xml:space="preserve">*0.23=0.039 </t>
    </r>
    <r>
      <rPr>
        <b/>
        <sz val="10"/>
        <rFont val="Cambria"/>
        <family val="1"/>
      </rPr>
      <t>(0.31-0.039=0.271)</t>
    </r>
  </si>
  <si>
    <r>
      <t xml:space="preserve"> CC Channeling</t>
    </r>
    <r>
      <rPr>
        <sz val="10"/>
        <rFont val="Cambria"/>
        <family val="1"/>
      </rPr>
      <t xml:space="preserve"> with (1:2.5:5) Prop  PI*1.2*1.20*0.25/4 =0.28 over Manhole alround for Cover PIx0.81x0.15x0.10=0.038 deduct Channel 1.20*0.30*0.30=0.108 (0.28+0.038-0.108=0.21)</t>
    </r>
  </si>
  <si>
    <r>
      <rPr>
        <b/>
        <sz val="10"/>
        <rFont val="Cambria"/>
        <family val="1"/>
      </rPr>
      <t xml:space="preserve">M.D.-10 with 500mm dia </t>
    </r>
    <r>
      <rPr>
        <sz val="10"/>
        <rFont val="Cambria"/>
        <family val="1"/>
      </rPr>
      <t>clear opening</t>
    </r>
  </si>
  <si>
    <r>
      <rPr>
        <b/>
        <sz val="10"/>
        <rFont val="Cambria"/>
        <family val="1"/>
      </rPr>
      <t>H.D.-20 with 560mmdia clear</t>
    </r>
    <r>
      <rPr>
        <sz val="10"/>
        <rFont val="Cambria"/>
        <family val="1"/>
      </rPr>
      <t xml:space="preserve"> opening(New item)</t>
    </r>
  </si>
  <si>
    <t>PHE CSHR -32</t>
  </si>
  <si>
    <t>quantiy of sheet roak as per stock measurement 36.53cum</t>
  </si>
  <si>
    <t xml:space="preserve">Hire charges of JCB </t>
  </si>
  <si>
    <t xml:space="preserve">MS Nokkulu </t>
  </si>
  <si>
    <t xml:space="preserve">Each </t>
  </si>
  <si>
    <t xml:space="preserve">hr </t>
  </si>
  <si>
    <t>Earthwork in excavation in Hard rock (blasting prohibited) with rock breakersin hard rock including breaking rock, loading , in tippers and disposal with all lifts and lead up to 1000m as per technical specifications 302.3.5</t>
  </si>
  <si>
    <t>PHE EXRW -33</t>
  </si>
  <si>
    <t xml:space="preserve">chisellers </t>
  </si>
  <si>
    <t xml:space="preserve">black smith </t>
  </si>
  <si>
    <t xml:space="preserve">day </t>
  </si>
  <si>
    <t>a)Mechinory</t>
  </si>
  <si>
    <t xml:space="preserve">Tipper  5.50 Cum capacity  1 trips per Hour </t>
  </si>
  <si>
    <t xml:space="preserve">credit for excavated rock found unsuitable for use @ 50%of excavated quantity </t>
  </si>
  <si>
    <t>Excavation in Hard Rock (requiring blasting) with disposal upto 1000 m</t>
  </si>
  <si>
    <r>
      <t xml:space="preserve">Excavation for roadway in hard rock (requiring blasting) by drilling, blasting and breaking, trimming of bottom and side slopes in accordance with requirements of lines, grades and cross-sections, loading and disposal of cut rock </t>
    </r>
    <r>
      <rPr>
        <b/>
        <sz val="9"/>
        <rFont val="Arial"/>
        <family val="2"/>
      </rPr>
      <t>with all lifts</t>
    </r>
    <r>
      <rPr>
        <sz val="9"/>
        <rFont val="Arial"/>
        <family val="2"/>
      </rPr>
      <t xml:space="preserve"> and leads upto 1000 m as per Technical Specification Clause 302.3.5 MORD / 301 MORTH</t>
    </r>
  </si>
  <si>
    <t>Unit = cum</t>
  </si>
  <si>
    <t>Taking output = 180 cum</t>
  </si>
  <si>
    <r>
      <t>a)</t>
    </r>
    <r>
      <rPr>
        <b/>
        <sz val="9"/>
        <rFont val="Times New Roman"/>
        <family val="1"/>
      </rPr>
      <t>  </t>
    </r>
    <r>
      <rPr>
        <b/>
        <sz val="9"/>
        <rFont val="Arial"/>
        <family val="2"/>
      </rPr>
      <t>Labour</t>
    </r>
  </si>
  <si>
    <t xml:space="preserve"> Mate</t>
  </si>
  <si>
    <t xml:space="preserve"> Mazdoor (Unskilled)</t>
  </si>
  <si>
    <t>Driller</t>
  </si>
  <si>
    <t>Blaster</t>
  </si>
  <si>
    <t>b) Machinery</t>
  </si>
  <si>
    <t>Dozer D-50  @ 30 cum per hour</t>
  </si>
  <si>
    <t>Front end loader 1 cum bucket capacity @ 30 cum / hour</t>
  </si>
  <si>
    <t>Tipper 5.5 cum capacity, 2 trips per hour</t>
  </si>
  <si>
    <t>c) Materials</t>
  </si>
  <si>
    <t>Electric Detonators @ 1 detonator for 2 gelatine sticks of 285 gm each</t>
  </si>
  <si>
    <t>Credit for excavated rock found suitable for use @ 50 per cent quantity blasted</t>
  </si>
  <si>
    <t>d&amp;e) Overheads &amp; Contractors Profit</t>
  </si>
  <si>
    <t>Cost for 180 cum = a+b+c+d+e</t>
  </si>
  <si>
    <t>Rate per  cum = (a+b+c+d+e)/180</t>
  </si>
  <si>
    <t xml:space="preserve"> 2 jack hammers</t>
  </si>
  <si>
    <t xml:space="preserve">Air compressor, 210 cfm </t>
  </si>
  <si>
    <t xml:space="preserve">         As per Local Enquiry</t>
  </si>
  <si>
    <r>
      <t xml:space="preserve">Cutting sheet rock including stockng of excavated materials </t>
    </r>
    <r>
      <rPr>
        <b/>
        <sz val="13"/>
        <rFont val="Cambria"/>
        <family val="1"/>
      </rPr>
      <t xml:space="preserve"> (Observed Rates )</t>
    </r>
  </si>
  <si>
    <t xml:space="preserve"> fly ash bricks required for one cum of Masonry</t>
  </si>
  <si>
    <t>BWM .I 89</t>
  </si>
  <si>
    <t xml:space="preserve">Supplying  &amp; fixing  of CI Step </t>
  </si>
  <si>
    <t xml:space="preserve"> Initial Socket Spigot NP2 Pipes 600 mm Dia </t>
  </si>
  <si>
    <t>Deduct 13.615 % over head charges</t>
  </si>
  <si>
    <t>Add 13.615%  Over heads Charges , Contractor profit</t>
  </si>
  <si>
    <t>M-089</t>
  </si>
  <si>
    <t xml:space="preserve">Bar Bendar </t>
  </si>
  <si>
    <t>Gelatin  80% per cent</t>
  </si>
  <si>
    <t>Water</t>
  </si>
  <si>
    <t>TBSP-A.II-01</t>
  </si>
  <si>
    <t>TBSP-A.II-02</t>
  </si>
  <si>
    <t>TBSP-A.II-03</t>
  </si>
  <si>
    <t>TBSP-A.II-04</t>
  </si>
  <si>
    <t>TBSP-A.II-05</t>
  </si>
  <si>
    <t>TBSP-A.II-06</t>
  </si>
  <si>
    <t>Sand for concrete</t>
  </si>
  <si>
    <t xml:space="preserve">Sand for concrete </t>
  </si>
  <si>
    <r>
      <t>Masonry work i</t>
    </r>
    <r>
      <rPr>
        <sz val="10"/>
        <rFont val="Cambria"/>
        <family val="1"/>
      </rPr>
      <t xml:space="preserve">n CM (1:6) prop with </t>
    </r>
    <r>
      <rPr>
        <b/>
        <sz val="10"/>
        <rFont val="Cambria"/>
        <family val="1"/>
      </rPr>
      <t>Flyash Cement solid blocks</t>
    </r>
    <r>
      <rPr>
        <sz val="10"/>
        <rFont val="Cambria"/>
        <family val="1"/>
      </rPr>
      <t xml:space="preserve"> of size 225 x 100 x 60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r>
  </si>
  <si>
    <t xml:space="preserve">Sand for  Concrete </t>
  </si>
  <si>
    <t>Internal Plastering in CM(1:4) of 20 mm thick uniform portionPI()*0.75*0.3 =0.707,  PI*(0.75+0.50)/2*0.52=1.02-PI/4*.20*.20*2=0.062  (0.707+1.02-0.062)=1.66</t>
  </si>
  <si>
    <t>TBSC .B.II -11</t>
  </si>
  <si>
    <t>H.D.-10 with  560mm dia clear opening (NewItem)</t>
  </si>
  <si>
    <t>AA</t>
  </si>
  <si>
    <t>L E A D      C H A R G  E S -   2016-17</t>
  </si>
  <si>
    <t>Add blasting Charges</t>
  </si>
  <si>
    <t>Add Crushing Charges</t>
  </si>
  <si>
    <t xml:space="preserve">Plumber </t>
  </si>
  <si>
    <t xml:space="preserve">Semi Skilled Mason </t>
  </si>
  <si>
    <t>Driling of holes 18 mm dia x200 mm deep</t>
  </si>
  <si>
    <t>Rs 247/Rm</t>
  </si>
  <si>
    <t>PSSR  25 (b)</t>
  </si>
  <si>
    <t xml:space="preserve">Add Lead Charges of pipe  up to 5 Km </t>
  </si>
  <si>
    <t xml:space="preserve">Add Lead Charges of pipe  above  5 Km </t>
  </si>
  <si>
    <t>Cost of Pipe per RM</t>
  </si>
  <si>
    <t xml:space="preserve"> Initial Socket Spigot NP2 Pipes 500 mm Dia </t>
  </si>
  <si>
    <t>NP2 Class</t>
  </si>
  <si>
    <t>NP3 Class</t>
  </si>
  <si>
    <t xml:space="preserve">NP2 class </t>
  </si>
  <si>
    <t xml:space="preserve">NP3 class </t>
  </si>
  <si>
    <t>Rq</t>
  </si>
  <si>
    <t>SSR 2016-17</t>
  </si>
  <si>
    <t>d</t>
  </si>
  <si>
    <t>e</t>
  </si>
  <si>
    <t>f</t>
  </si>
  <si>
    <t xml:space="preserve"> PH SSR  Other items 3
 P no517</t>
  </si>
  <si>
    <t xml:space="preserve">For  300 mm dia </t>
  </si>
  <si>
    <t xml:space="preserve">For  250 mm dia </t>
  </si>
  <si>
    <t xml:space="preserve">Rates of Manholes of various depths </t>
  </si>
  <si>
    <t xml:space="preserve">Basic Rate </t>
  </si>
  <si>
    <t>+or- depth</t>
  </si>
  <si>
    <t>cost  of 0.10M depth</t>
  </si>
  <si>
    <t>CC Channeling with (1:2.5:5) Prop  PIx0.9x0.9x0.20/4 =0.13 over Manhole alround for Cover PIx0.81x0.15x0.10=0.038 deduct Channel 0.90x0.20x0.20=0.036</t>
  </si>
  <si>
    <t xml:space="preserve">For  200 mm dia </t>
  </si>
  <si>
    <t>External Plastering in CM(1:4) of 12 mm thick vertical portion PI*1.21*0.30 =1.139 Carbelling Portion PI(1.21+0.96)/2*.45 =1.53 Dedcut Pipe Portion 2*PI()0.23^2/4=0.08 (1.129+1.53-0.08)</t>
  </si>
  <si>
    <t>Brick Masonory in cm (1: 6) Prop using 2nd class bricks for Uniform Section PIx1.13x0.23x0.30-PI/4*0.23*0.23*.23=(0.245-0.019)</t>
  </si>
  <si>
    <r>
      <t>External Plastering in CM(1:4) of 12 mm thick vertical portion PIx1.36x0.30=1.28 and sloped portion Pix(1.36+1.01)/2x0.70 =2.66 Dedcut Pipe Portion 2xPI()/4x</t>
    </r>
    <r>
      <rPr>
        <b/>
        <sz val="10"/>
        <rFont val="Cambria"/>
        <family val="1"/>
      </rPr>
      <t>0.23x0.23</t>
    </r>
    <r>
      <rPr>
        <sz val="10"/>
        <rFont val="Cambria"/>
        <family val="1"/>
      </rPr>
      <t>=0.083</t>
    </r>
  </si>
  <si>
    <r>
      <t>Internal Plastering in CM(1:4) of 20 mm thick uniform portion PIx0.90x0.30=0.848 and Sloped Portion Pix(0.90+0.55)/2x0.770 =1.75 Dedcut Pipe Portion 2xPI()/4</t>
    </r>
    <r>
      <rPr>
        <b/>
        <sz val="10"/>
        <rFont val="Cambria"/>
        <family val="1"/>
      </rPr>
      <t>x0.20x0.20</t>
    </r>
    <r>
      <rPr>
        <sz val="10"/>
        <rFont val="Cambria"/>
        <family val="1"/>
      </rPr>
      <t>=0.063  (0.848+1.75-0.063=2.54)</t>
    </r>
  </si>
  <si>
    <t xml:space="preserve">Brick Masonory work in cm (1: 6) )portion for Carbelling Portion PI()*(1.43+0.73)/2*0.23*0.70   =0.54
</t>
  </si>
  <si>
    <t xml:space="preserve"> External Plastering in CM(1:4) of 12 mm thick vertical portion PI()*1.65*0.30= 1.56 and sloped portion PI()*(1.65+1.0)/2*0.70 =2.92 Dedcut Pipe Portion 2*PI()/4*0.23*0.23= 0.083 (1.56+2.92-0.083 =4.40)</t>
  </si>
  <si>
    <t>Internal Plastering in CM(1:4) of 20 mm thick uniform portion PI*1.20*0.30=1.13 and Sloped Portion PI()*(1.20+0.55)/2*0.77 =2.11 Dedcut Pipe Portion 2*PI()/4*0.20*0.20=0.063 (1.13+2.11-0.063=3.10)</t>
  </si>
  <si>
    <t xml:space="preserve">For Bricks  </t>
  </si>
  <si>
    <t>Brick Masonory work  in cm (1: 6) )portion for Uniform Section PI*1.43*0.23*0.10=0.103</t>
  </si>
  <si>
    <t>Size of Man Hole Depth</t>
  </si>
  <si>
    <t xml:space="preserve">   Rate  for  1.20 x 0.55 x0.50 M </t>
  </si>
  <si>
    <t xml:space="preserve">   Rate  for  1.20 x 0.55 x0.55 M </t>
  </si>
  <si>
    <t xml:space="preserve">   Rate  for  1.20 x 0.55 x0.60 M </t>
  </si>
  <si>
    <t xml:space="preserve">   Rate  for  1.20 x 0.55 x0.65 M </t>
  </si>
  <si>
    <t xml:space="preserve">   Rate  for  1.20 x 0.55 x0.70 M </t>
  </si>
  <si>
    <t xml:space="preserve">   Rate  for  1.20 x 0.55 x0.75 M </t>
  </si>
  <si>
    <t xml:space="preserve">   Rate  for  1.20 x 0.55 x0.80 M </t>
  </si>
  <si>
    <t xml:space="preserve">   Rate  for  1.20 x 0.55 x0.85 M </t>
  </si>
  <si>
    <t xml:space="preserve">   Rate  for  1.20 x 0.55 x0.90M </t>
  </si>
  <si>
    <t xml:space="preserve">   Rate  for  1.20 x 0.55 x0.95 M </t>
  </si>
  <si>
    <t xml:space="preserve">   Rate  for  1.20 x 0.55 x 1.00 M </t>
  </si>
  <si>
    <t xml:space="preserve">   Rate  for  1.20 x 0.55 x 1.05 M </t>
  </si>
  <si>
    <t xml:space="preserve">   Rate  for  1.20 x 0.55 x 1.10 M </t>
  </si>
  <si>
    <t xml:space="preserve">   Rate  for  1.20 x 0.55 x 1.15 M </t>
  </si>
  <si>
    <t xml:space="preserve">   Rate  for  1.20 x 0.55 x 1.20 M </t>
  </si>
  <si>
    <t xml:space="preserve">   Rate  for  1.20 x 0.55 x 1.25 M </t>
  </si>
  <si>
    <t xml:space="preserve">   Rate  for  1.20 x 0.55 x 1.30 M </t>
  </si>
  <si>
    <t xml:space="preserve">   Rate  for  1.20 x 0.55 x 1.35 M </t>
  </si>
  <si>
    <t xml:space="preserve">   Rate  for  0.90 x 0.55 x0.50 M </t>
  </si>
  <si>
    <t xml:space="preserve">   Rate  for  0.90 x 0.55 x0.55 M </t>
  </si>
  <si>
    <t xml:space="preserve">   Rate  for  0.90 x 0.55 x0.60 M </t>
  </si>
  <si>
    <t xml:space="preserve">   Rate  for  0.90 x 0.55 x0.65 M </t>
  </si>
  <si>
    <t xml:space="preserve">   Rate  for  0.90 x 0.55 x0.70 M </t>
  </si>
  <si>
    <t xml:space="preserve">   Rate  for  0.90 x 0.55 x0.75 M </t>
  </si>
  <si>
    <t xml:space="preserve">   Rate  for  0.90 x 0.55 x0.80 M </t>
  </si>
  <si>
    <t xml:space="preserve">   Rate  for  0.90 x 0.55 x0.85 M </t>
  </si>
  <si>
    <t xml:space="preserve">   Rate  for  0.90 x 0.55 x0.90 M </t>
  </si>
  <si>
    <t xml:space="preserve">   Rate  for  0.90 x 0.55 x0.95 M </t>
  </si>
  <si>
    <t xml:space="preserve">   Rate  for  0.90 x 0.55 x 1.00 M </t>
  </si>
  <si>
    <t xml:space="preserve">   Rate  for  0.90 x 0.55 x 1.05 M </t>
  </si>
  <si>
    <t xml:space="preserve">   Rate  for  0.90 x 0.55 x 1.10 M </t>
  </si>
  <si>
    <t xml:space="preserve">   Rate  for  0.90 x 0.55 x 1.15 M </t>
  </si>
  <si>
    <t xml:space="preserve">   Rate  for  0.90 x 0.55 x 1.20 M </t>
  </si>
  <si>
    <t xml:space="preserve">   Rate  for  0.90 x 0.55 x 1.25 M </t>
  </si>
  <si>
    <t xml:space="preserve">   Rate  for  0.90 x 0.55 x 1.30 M </t>
  </si>
  <si>
    <t xml:space="preserve">   Rate  for  0.90 x 0.55 x 1.35 M </t>
  </si>
  <si>
    <t xml:space="preserve">   Rate  for  0.75 x 0.55 x0.35 M </t>
  </si>
  <si>
    <t xml:space="preserve">   Rate  for  0.75 x 0.55 x0.40 M </t>
  </si>
  <si>
    <t xml:space="preserve">   Rate  for  0.75 x 0.55 x0.45 M </t>
  </si>
  <si>
    <t xml:space="preserve">   Rate  for  0.75 x 0.55 x0.50 M </t>
  </si>
  <si>
    <t xml:space="preserve">   Rate  for  0.75 x 0.55 x0.55 M </t>
  </si>
  <si>
    <t xml:space="preserve">   Rate  for  0.75 x 0.55 x0.60 M </t>
  </si>
  <si>
    <t xml:space="preserve">   Rate  for  0.75 x 0.55 x0.65 M </t>
  </si>
  <si>
    <t xml:space="preserve">   Rate  for  0.75 x 0.55 x0.70 M </t>
  </si>
  <si>
    <t xml:space="preserve">   Rate  for  0.75 x 0.55 x0.75 M </t>
  </si>
  <si>
    <t xml:space="preserve">   Rate  for  0.75 x 0.55 x0.80 M </t>
  </si>
  <si>
    <t xml:space="preserve">   Rate  for  0.75 x 0.55 x0.85 M </t>
  </si>
  <si>
    <t xml:space="preserve">   Rate  for  0.75 x 0.55 x0.90 M </t>
  </si>
  <si>
    <t xml:space="preserve">   Rate  for  0.75 x 0.55 x0.95 M </t>
  </si>
  <si>
    <t xml:space="preserve">   Rate  for  0.75 x 0.55 x 1.00 M </t>
  </si>
  <si>
    <t xml:space="preserve">   Rate  for  0.75 x 0.55 x 1.05 M </t>
  </si>
  <si>
    <t xml:space="preserve">   Rate  for  0.75 x 0.55 x 1.10 M </t>
  </si>
  <si>
    <t xml:space="preserve">   Rate  for  0.75 x 0.55 x 1.15 M </t>
  </si>
  <si>
    <t xml:space="preserve">   Rate  for  0.75 x 0.55 x 1.20 M </t>
  </si>
  <si>
    <t>Total Cost/ Each</t>
  </si>
  <si>
    <t>PHSSR PNO 515</t>
  </si>
  <si>
    <t xml:space="preserve">   Rate  for  1.20 x 0.55 x 1.40 M </t>
  </si>
  <si>
    <t xml:space="preserve">The estimate is prepared with SSR 2016-17 and submitted for according technical  sanction. </t>
  </si>
  <si>
    <t>Sand for Mortar &amp; Platering</t>
  </si>
  <si>
    <t>TBSC-U.I-01</t>
  </si>
  <si>
    <t>Dismantling of Stone masonry in cement mortar including clearing away debris and stocking the useful materials , labour charges etc.complete</t>
  </si>
  <si>
    <t xml:space="preserve">Dismantling of disposal of unservicable materials with in 100mm lead for unforced cement concrete upto 150 thickness </t>
  </si>
  <si>
    <t xml:space="preserve">1) Mason </t>
  </si>
  <si>
    <t xml:space="preserve">Bldg DATA </t>
  </si>
  <si>
    <t>Per Cum</t>
  </si>
  <si>
    <t xml:space="preserve">Rate per  cum </t>
  </si>
  <si>
    <t xml:space="preserve">DETAILED     DATAS  FOR     MAN HOLES </t>
  </si>
  <si>
    <t>Rate per Cum</t>
  </si>
  <si>
    <t xml:space="preserve">Seign Chagres </t>
  </si>
  <si>
    <t xml:space="preserve">Add  Seign Charges </t>
  </si>
  <si>
    <t xml:space="preserve">For 200 MM dia </t>
  </si>
  <si>
    <t xml:space="preserve">                                                                                                                                                                                                                                                                                                                                                                                                                                                                                                                                                                                                                                                                                                                                                                                                                                                                                                                                      </t>
  </si>
  <si>
    <t>Steel</t>
  </si>
  <si>
    <t xml:space="preserve">Flyash bricks cement solid blocks with compressive strength of 50kg/cm2 of 0.225x0.1x0.06 </t>
  </si>
  <si>
    <t>RBR-FNDN-1- (IV) -  Hard rock (blasting prohibited) -up to  3.00Mts. below GL: Excavation in Hard Rock in habitant areas where conventional blasting can not be done for Pipe line trenches as per drawings and technical specifications including setting out, construction of shoring and bracing, removal of stumps and other deleterious material , dressing of sides and bottom as per Technical Specification  305 MoRD / 304 MoRTH and  as directed by the departmental officer including  protecting the existing utility services wherever it is possible  during the execution and taking all precautionary measures in the restricted areas   for laying sewer/water pipe lines including divertion of traffic and  disposal of rock  upto a lead of 50 m, including all incidental and operational charges etc., complete</t>
  </si>
  <si>
    <t>out put</t>
  </si>
  <si>
    <t>a)  Labour</t>
  </si>
  <si>
    <t>Mate ( Labour- R&amp;B-S.N.71)</t>
  </si>
  <si>
    <t>Mazdoor (Labour-Irrigation-Unskilled-Sn.3)</t>
  </si>
  <si>
    <t>Air compressor 210 cfm / 250 cfm with 2 jack hammers ( Hire charges- Irrigation-S.N.3)</t>
  </si>
  <si>
    <t>sub total ; a+b</t>
  </si>
  <si>
    <t>c&amp;d) Overheads &amp; Contractors Profit</t>
  </si>
  <si>
    <t>Cost for 10 cum = a+b+c+d</t>
  </si>
  <si>
    <t>Rate per cum = a+b+c+d+e)/10</t>
  </si>
  <si>
    <t>VAT &amp; Labour cess.</t>
  </si>
  <si>
    <t>Rate per 1 Cum excluding Dewatering</t>
  </si>
  <si>
    <t>Stone dust Filling</t>
  </si>
  <si>
    <t>a) Material</t>
  </si>
  <si>
    <t>Stone dust Filling  (C-Mat-Lead statement-S.No.23)</t>
  </si>
  <si>
    <t>Sub Total</t>
  </si>
  <si>
    <t>b&amp;c) Overheads &amp; Contractors Profit</t>
  </si>
  <si>
    <t>Cost for 6 cum = a+b+c</t>
  </si>
  <si>
    <t>Rate per cum = (a+b+c)/6</t>
  </si>
  <si>
    <t xml:space="preserve">Rate per 1 Cum </t>
  </si>
  <si>
    <t>b)  Labour</t>
  </si>
  <si>
    <t>BLD-CSTN-2-8 (16): Collection ,Supply  and filling of Stone dust from approved quarry to work site and stacking at work site to Dept. gauge for premeasurements    including cost and convenyance of all material and all labour charges etc. complete as per standard specifications. Clause 305.3.9 MORD &amp; 304 MORTH</t>
  </si>
  <si>
    <t>Rate per 1 Cum</t>
  </si>
  <si>
    <t>Carting of surplus excavated rock from the site to a distance suitable including loading, unloading charges, cost &amp; conveyance, dumping, labour charges, all leads &amp; lifts and other incidental and operational charges etc., complete.</t>
  </si>
  <si>
    <t>Rock/CC</t>
  </si>
  <si>
    <t>Page No.328 of SSR, Conveyance rates  - 5.00 Km</t>
  </si>
  <si>
    <t>Rmt</t>
  </si>
  <si>
    <t>Estimation for the construction of  Rectangular Sewer  Inspection Chamber (900 x 900 mm)</t>
  </si>
  <si>
    <t>Inner dimensions of  Chamber</t>
  </si>
  <si>
    <t>Wall thickness of the  Chamber with  Class 75 kg/sqcm Fly ash Bricks</t>
  </si>
  <si>
    <t>H</t>
  </si>
  <si>
    <t>outer dimensions of   Chamber</t>
  </si>
  <si>
    <t>off set for CC (1:5:10) bed</t>
  </si>
  <si>
    <t>Earth work</t>
  </si>
  <si>
    <t>Description of Item</t>
  </si>
  <si>
    <t>Per</t>
  </si>
  <si>
    <t>Amount</t>
  </si>
  <si>
    <t xml:space="preserve">RBR-FNDN-1 -manual means : Earthwork excavation for structures in all types of soil as per drawing and technical specifications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for Sumps,Thrust blocks, Chambers and Man Holes etc. by manual means,   </t>
  </si>
  <si>
    <t xml:space="preserve">BLD-CSTN-3-5 (22) -Using Concrete mixture all works up to Plinth Level: Plain Cement concrete nominal mix (1:4:8) prop (Cement : fine aggregate: coarse aggregate ) using 40mm size Hard Granite Machine Crushed Metal including cost and conveyance of all materials like cement, sand, coarse aggregate water etc., to site , seigniorage charges on all materials,   labour charges , for mixing , laying, concrete , ramming in 15 cm layers, finishing top surface to the required level curing etc., complete for finished item of work.for foundation and  under flooring bed.  </t>
  </si>
  <si>
    <t>levelling course in PCC ( 1:4:8)</t>
  </si>
  <si>
    <t>BLD-CSTN-5-17-(55): Brick Masonry work in CM (1:4) prop with Flyash Cement solid blocks of size 290 x 200 x 140 mm for manufacturing of flyash solid blocks using flyash of 80 kgs, cement of 15 kgs. Gypsum of 5 kgs. and stone dust including cost and conveyance of all materials, labour charges, scaffolding and curing etc., complete with a compresive strength not lessthan 75 kg/sqm for Manhole Walls.</t>
  </si>
  <si>
    <t>for Chamber long walls</t>
  </si>
  <si>
    <t>for Chamber Short walls</t>
  </si>
  <si>
    <t>BLD-CSTN-6-4: Plastering  with 12mm thick in single coat in CM (1:3) finished smooth including cost and conveyance of all materials to site,  finishing, curing, scaffolding and all operational, incidental, labour charges etc., including cutting grooves where ever necessary etc., complete for finished item of work.  (As per SS 903). per 1 Sqm. for inside and out side walls of the IC.</t>
  </si>
  <si>
    <t>for external plastering of Long walls</t>
  </si>
  <si>
    <t>for external plastering of Short walls</t>
  </si>
  <si>
    <t>for internal plastering of Long walls</t>
  </si>
  <si>
    <t>for internal plastering of Short walls</t>
  </si>
  <si>
    <t>Flooring</t>
  </si>
  <si>
    <t>Sqm</t>
  </si>
  <si>
    <t>BLD-CSTN-3-11-Using Concrete mixture up to Plinth Level
Plain Cement concrete nominal mix M-20 prop (Cement : fine aggregate: coarse aggregate ) using 20mm size Hard Granite Machine Crushed  Graded Metal including cost and conveyance of all materials like cement, sand, coarse aggregate water etc., to site ,  labour charges , for mixing , laying, concrete , ramming in 15 cm layers, finishing top surface to the required level curing etc., complete for finished item of work .</t>
  </si>
  <si>
    <t xml:space="preserve">over brick wall for fixing the chamber frame </t>
  </si>
  <si>
    <t>around the manhole frame for fixing</t>
  </si>
  <si>
    <t>Benching inside the IC (62.5mm Avg.thick)</t>
  </si>
  <si>
    <t>Deduct for Manhole frame( as per Drawing IS code-12592)</t>
  </si>
  <si>
    <t>Manufacture  Supply &amp; Delivery of manhole covers and frames anywhere in A.P., F.O.R. destination including, loading, un-loading  &amp; stacking at site , including all taxes as applicable.</t>
  </si>
  <si>
    <t>450mm x 600mm - HD-20 Manhole frame and cover</t>
  </si>
  <si>
    <t>No</t>
  </si>
  <si>
    <t xml:space="preserve">Manufacture, Supply &amp; fixing cp spl. Grating with frame and cover of 1st quality   including cost and conveyance of all material  etc,. Complete.
</t>
  </si>
  <si>
    <t>Total  Rs</t>
  </si>
  <si>
    <t>S.N</t>
  </si>
  <si>
    <t>sand</t>
  </si>
  <si>
    <t>Estimation for the construction of  Rectangular Sewer  Inspection Chamber (450 x 600 mm)</t>
  </si>
  <si>
    <t>Wall thickness of the  Chamber</t>
  </si>
  <si>
    <t xml:space="preserve">BLD-CSTN-3-6 ( 23 ) -Hand mixing up to Plinth Level
Plain Cement concrete nominal mix (1:5:10) prop (Cement : fine aggregate: coarse aggregate ) using 40mm size Hard Granite Machine Crushed Metal including cost and conveyance of all materials like cement, sand, coarse aggregate water etc., to site , seigniorage charges on all materials,   labour charges , for mixing , laying, concrete , ramming in 15 cm layers, finishing top surface to the required level curing etc., complete for finished item of work.for foundation and  under flooring bed.  </t>
  </si>
  <si>
    <t>levelling course</t>
  </si>
  <si>
    <t>BLD-CSTN-5-17-(55) : Brick Masonry work in CM (1:6) prop with Flyash Cement solid blocks of size 290 x 150 x 140 mm for manufacturing of flyash solid blocks using flyash of 80 kgs, cement of 15 kgs. Gypsum of 5 kgs. and stone dust including cost and conveyance of all materials, labour charges, seiniorage charges, scaffolding and curing etc., cpomplete with a compresive strength not lessthan 50 kg/sqm for walls for Superstructure Walls.</t>
  </si>
  <si>
    <t>BLD-CSTN-8-4-(79): Plastering  with 12mm thick in single coat in CM (1:6) finished smooth including cost and conveyance of all materials to site,  seigniorage charges on all materials,  finishing, curing, scaffolding and all operational, incidental, labour charges etc., including cutting grooves where ever necessary etc., complete for finished item of work.  (As per SS 903). per 10 Sqm.</t>
  </si>
  <si>
    <t>BLD-CSTN-6-4: Plastering  with 12mm thick in single coat in CM (1:3) finished smooth including cost and conveyance of all materials to site,  finishing, curing, scaffolding and all operational, incidental, labour charges etc., including cutting grooves where ever necessary etc., complete for finished item of work.  (As per SS 903). per 1 Sqm. with Sulphate resistance cement.</t>
  </si>
  <si>
    <t>BLD-CSTN-3-11-Using Concrete mixture up to Plinth Level
Plain Cement concrete nominal mix M-20 prop (Cement : fine aggregate: coarse aggregate ) using 20mm size Hard Granite Machine Crushed  Graded Metal including cost and conveyance of all materials like cement, sand, coarse aggregate water etc., to site , seigniorage charges on all materials,   labour charges , for mixing , laying, concrete , ramming in 15 cm layers, finishing top surface to the required level curing etc., complete for finished item of work .</t>
  </si>
  <si>
    <t>Manufacture  Supply &amp; Delivery of manhole covers and frames anywhere in A.P., F.O.R. destination including, loading, un-loading  &amp; stacking at site ,central excise duty but excluding VAT and other taxes as applicable.</t>
  </si>
  <si>
    <t>Market rate</t>
  </si>
  <si>
    <t>450mm x 600mm - MD-20 Manhole frame and cover</t>
  </si>
  <si>
    <t>Providing Geo tagging of the House Service connections and details of the property to the Municipal records.</t>
  </si>
  <si>
    <t>BLD-CSTN-5-17-(55): Brick Masonry work in CM (1:4) prop with Flyash Cement solid blocks of size 290 x 110x 60mm for manufacturing of flyash solid blocks using flyash of 80 kgs, cement of 15 kgs. Gypsum of 5 kgs. and stone dust including cost and conveyance of all materials, labour charges, scaffolding and curing etc., complete with a compresive strength not lessthan 75 kg/sqm for Manhole Walls.</t>
  </si>
  <si>
    <t>BLD-CSTN-3-11-(28) Using Concrete mixture up to Plinth Level : Plain Cement concrete nominal mix m-20 (Cement : fine aggregate: coarse aggregate ) using 20mm size Hard Granite Machine Crushed  Graded Metal including cost and conveyance of all materials like cement, sand, coarse aggregate water etc., to site , seigniorage charges on all materials,   labour charges , for mixing , laying, concrete , ramming in 15 cm layers, finishing top surface to the required level curing etc., complete for finished item of work with nomonal reinforcement</t>
  </si>
  <si>
    <t>Cement-(ENC-PH.Memo.No.146/Cement&amp;Steel / T1</t>
  </si>
  <si>
    <t>Kg</t>
  </si>
  <si>
    <t>Coarse aggregate 20mm graded</t>
  </si>
  <si>
    <t>Sand (C-Mat-Lead statement-S.No.1)</t>
  </si>
  <si>
    <t>Water (including for curing) -M-189-b.  irrigation SSR</t>
  </si>
  <si>
    <t>Mason 1st class (labour-Irrigation.S.N.11)</t>
  </si>
  <si>
    <t>Sub - Total</t>
  </si>
  <si>
    <t>c.Overheads &amp; Contractors Profit</t>
  </si>
  <si>
    <t>Rate per 1 Rmt</t>
  </si>
  <si>
    <t>450mm x 600mm - MD-10 Manhole frame and cover</t>
  </si>
  <si>
    <t>Add supervision charges @ 3%</t>
  </si>
  <si>
    <t xml:space="preserve"> Conveyance rates  - 5.00 Km ( as per ssr)</t>
  </si>
  <si>
    <t>Sand for filling</t>
  </si>
  <si>
    <t>12 mm HBG SS5 M/c chips</t>
  </si>
  <si>
    <r>
      <t>Brick Masonory work in cm (1: 6) )portion for Uniform Section PI()*1.43*0.23*0.30=0.31 Dedcut Pipe Portion 2*PI()/4*</t>
    </r>
    <r>
      <rPr>
        <b/>
        <sz val="10"/>
        <rFont val="Cambria"/>
        <family val="1"/>
      </rPr>
      <t>0.23*0.23</t>
    </r>
    <r>
      <rPr>
        <sz val="10"/>
        <rFont val="Cambria"/>
        <family val="1"/>
      </rPr>
      <t xml:space="preserve">*0.23=0.019 </t>
    </r>
    <r>
      <rPr>
        <b/>
        <sz val="10"/>
        <rFont val="Cambria"/>
        <family val="1"/>
      </rPr>
      <t>(0.31-0.019=0.291)</t>
    </r>
  </si>
  <si>
    <t>Providing UGD system in Kokapet</t>
  </si>
  <si>
    <t>Mate</t>
  </si>
  <si>
    <t>Total Earthwork Qty</t>
  </si>
  <si>
    <t>Total EW Qty</t>
  </si>
  <si>
    <t>Hard Rock</t>
  </si>
  <si>
    <t>Hard rock (Blasting)</t>
  </si>
  <si>
    <t>Mason Class I</t>
  </si>
  <si>
    <t>Chissler</t>
  </si>
  <si>
    <t>Black Smith</t>
  </si>
  <si>
    <t>Municipal Allowance @ 40%</t>
  </si>
  <si>
    <t>L E A D      C H A R G  E S -   2019-20</t>
  </si>
  <si>
    <t>Upto 5 Km =</t>
  </si>
  <si>
    <t>For Every km beyond
5 km upto 30 km =</t>
  </si>
  <si>
    <t>For Every km beyond
30 km =</t>
  </si>
  <si>
    <t>Sand 50: Rock Sand 50 for Plastering</t>
  </si>
  <si>
    <t>Sand 50: Rock Sand 50 for Concreting</t>
  </si>
  <si>
    <t>Municipal Allowance for Crew of Mixer</t>
  </si>
  <si>
    <t>Traditional brick 23x11x7</t>
  </si>
  <si>
    <t xml:space="preserve">Brick Masonory in cm (1: 6) )portion using Flyash bricks for  PIx0.98x0.23x0.30= 0.213 Dedcut Pipe Portion PI/4*0.23*0.23*0.23*2 =0.019 i.e 0.213-0.019=0.19
</t>
  </si>
  <si>
    <t>Add Over Heads @13.615%</t>
  </si>
  <si>
    <t>SSR 2019-20</t>
  </si>
  <si>
    <t>DATA FOR 450mm DIA NP 3 CLASS PIPES</t>
  </si>
  <si>
    <t xml:space="preserve">Inputs </t>
  </si>
  <si>
    <t>Dia of Pipe =</t>
  </si>
  <si>
    <t>mm</t>
  </si>
  <si>
    <t>Thickness of Pipe =</t>
  </si>
  <si>
    <t>I)</t>
  </si>
  <si>
    <t xml:space="preserve">Ex-factory rate of </t>
  </si>
  <si>
    <t>mm dia RCC NP3 class pipes</t>
  </si>
  <si>
    <t>Rs.</t>
  </si>
  <si>
    <t>(Rate of S/s as per CSSR 2017-18)</t>
  </si>
  <si>
    <t>ii)</t>
  </si>
  <si>
    <t>Add for MS Rods difference in cost of Steel</t>
  </si>
  <si>
    <t>Sp Rfn</t>
  </si>
  <si>
    <t>Kg/m</t>
  </si>
  <si>
    <t>Total Steel per Rmt =</t>
  </si>
  <si>
    <t>Kg/Rmt</t>
  </si>
  <si>
    <t xml:space="preserve">Steel IS 458-2003 Table -3 . </t>
  </si>
  <si>
    <t>Ln Rfn</t>
  </si>
  <si>
    <t>Present Steel Rate =</t>
  </si>
  <si>
    <t>S2</t>
  </si>
  <si>
    <t>Rate of steel as per SSR =</t>
  </si>
  <si>
    <t>S1</t>
  </si>
  <si>
    <t>i.e.,</t>
  </si>
  <si>
    <t>iii)</t>
  </si>
  <si>
    <t>Add difference in cost of Cement on CC volume of pipe</t>
  </si>
  <si>
    <t>Volume of CC =</t>
  </si>
  <si>
    <t>22/7x</t>
  </si>
  <si>
    <t>x2.65</t>
  </si>
  <si>
    <t>Calculation of Volume of Cement required</t>
  </si>
  <si>
    <t>x7.2 bags/Cum =</t>
  </si>
  <si>
    <t>bags/2.5Rmt =</t>
  </si>
  <si>
    <t>bags/Rmt</t>
  </si>
  <si>
    <t>** 7.2 bags of Cement req for 1 Cum of Conc</t>
  </si>
  <si>
    <t>=</t>
  </si>
  <si>
    <t>Difference in cost of Cement and OPC</t>
  </si>
  <si>
    <t>Present Cement Rate =</t>
  </si>
  <si>
    <t>MT</t>
  </si>
  <si>
    <t>Rate of Cement as per SSR =</t>
  </si>
  <si>
    <t>a)</t>
  </si>
  <si>
    <t>Basic Rate of</t>
  </si>
  <si>
    <t>mm dia RCC NP3 pipes</t>
  </si>
  <si>
    <t>c)</t>
  </si>
  <si>
    <t>Details to be changed for every dia</t>
  </si>
  <si>
    <t>sub total</t>
  </si>
  <si>
    <t>f)</t>
  </si>
  <si>
    <t>Add over head charges and contractors profit on subtotal</t>
  </si>
  <si>
    <t>d)</t>
  </si>
  <si>
    <t>Cost of laying and jointing</t>
  </si>
  <si>
    <t>Or say</t>
  </si>
  <si>
    <t xml:space="preserve">Rs. </t>
  </si>
  <si>
    <t>Per Rmt</t>
  </si>
  <si>
    <t>Lowering the RCC S/S pipes carefully into the trenches laying them true to alignment and gradient, jointing with rubber ring sand testing including filling with water with a water lead upto 500 meters including cost of rubber rings as per BIS No. 783/1985</t>
  </si>
  <si>
    <t>Taking out put 100 rmt</t>
  </si>
  <si>
    <t>450mm dia</t>
  </si>
  <si>
    <t>A)Labour</t>
  </si>
  <si>
    <t>Qnty</t>
  </si>
  <si>
    <t>Mason II class</t>
  </si>
  <si>
    <t>Man Mazdooor</t>
  </si>
  <si>
    <t>Women Mazdoor</t>
  </si>
  <si>
    <t>B)Material</t>
  </si>
  <si>
    <t>Rubber Rings for Jointing conforming BIS 5382/1985</t>
  </si>
  <si>
    <t>Add 1% for water Charges</t>
  </si>
  <si>
    <t>Over heads and Contractors Profit</t>
  </si>
  <si>
    <t>MA @ 40% for Labour</t>
  </si>
  <si>
    <t>Rate per 100 Rmt =</t>
  </si>
  <si>
    <t>Rate per Rmt =</t>
  </si>
  <si>
    <t>Transportation for 20 Km  (84.9+3.94x15) )</t>
  </si>
  <si>
    <t>Seigniorage Charges</t>
  </si>
  <si>
    <t>Excavation in Hard Rock (controlled blasting) with disposal upto 1000 m</t>
  </si>
  <si>
    <t>Front end loader 1 cum bucket capacity</t>
  </si>
  <si>
    <t>Tipper 5.5 cum capacity, 4 trips per hour</t>
  </si>
  <si>
    <t>Gelatine 80 per cent</t>
  </si>
  <si>
    <t>Cost for 180 cum =a+b+c+d+e</t>
  </si>
  <si>
    <t xml:space="preserve">Robo Sand for filling </t>
  </si>
  <si>
    <t>For 450 mm dia</t>
  </si>
  <si>
    <t>For 600 mm dia</t>
  </si>
  <si>
    <t>Add 13.615% overhead charges, Contractor profit</t>
  </si>
  <si>
    <r>
      <rPr>
        <b/>
        <sz val="10"/>
        <rFont val="Cambria"/>
        <family val="1"/>
      </rPr>
      <t xml:space="preserve">H.D.-35 with 560mm dia </t>
    </r>
    <r>
      <rPr>
        <sz val="10"/>
        <rFont val="Cambria"/>
        <family val="1"/>
      </rPr>
      <t>clear opening</t>
    </r>
  </si>
  <si>
    <t>deduct pipe volume (300mm dia)</t>
  </si>
  <si>
    <t>deduct pipe volume (450mm dia)</t>
  </si>
  <si>
    <t>For 450 mm RCC</t>
  </si>
  <si>
    <t>H.D.-35 with 560mm dia clear opening</t>
  </si>
  <si>
    <t>Lead Chart  2019-20</t>
  </si>
  <si>
    <t xml:space="preserve">deduct stonedust qty </t>
  </si>
  <si>
    <t xml:space="preserve">Abstract Estimate of Koapet Layout for Provision of Under Ground Drainage </t>
  </si>
  <si>
    <t>Sr.No.</t>
  </si>
  <si>
    <t xml:space="preserve">                                                                                                                                                                                                                                                                                                                                                                                                                                                                                                                                                                                                                                                                                                                                                                                                                                                                                                                                                                                                                                                                                                                                                                                                                                                                                                                               Manufacture, Supply and Delivery of R.C.C. Spun / Vibrated Cast (Reinforced) Socket and Spigot pipes 300mm internal dia conforming to B.I.S. 458/2003 at exfactory (rate per meter of effective length) including laying and jointing conveyance to site and testing etc., complete</t>
  </si>
  <si>
    <t>Manufacture, Supply and Delivery of R.C.C. Spun / Vibrated Cast (Reinforced) Socket and Spigot pipes 450mm internal dia conforming to B.I.S. 458/2003 at exfactory (rate per meter of effective length) including laying and jointing conveyance to site and testing etc., complete</t>
  </si>
  <si>
    <t>Manufacture, Supply and Delivery of R.C.C. Spun / Vibrated Cast (Reinforced) Socket and Spigot pipes 600mm internal dia conforming to B.I.S. 458/2003 at exfactory (rate per meter of effective length) including laying and jointing conveyance to site and testing etc., complete</t>
  </si>
  <si>
    <t>Constructon  of  0.90 M   Circular Sewer Man hole of 0.90 mts x 0.55 m of 1.0M  depth with Fly ash cement  sloid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 with 600mm dia pipe</t>
  </si>
  <si>
    <t>Constructon  of  1.20 M   Circular Sewer Man hole of 1.20 mts x 0.55 m of 1.5 M depths  with  Fly ash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 with 300 mm dia Pipe</t>
  </si>
  <si>
    <t>Constructon  of  1.20 M   Circular Sewer Man hole of 1.20 mts x 0.55 m of 1.5 M depths  with  Fly ash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 with 450 mm dia Pipe</t>
  </si>
  <si>
    <t>Constructon  of  1.20 M   Circular Sewer Man hole of 1.20 mts x 0.55 m of 1.5 M depths  with  Fly ash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 with 600 mm dia Pipe</t>
  </si>
  <si>
    <t>nos</t>
  </si>
  <si>
    <t>Sub-Total =</t>
  </si>
  <si>
    <t>Carting of surplus excavated Earth from the site to a distance suitable including loading, unloading charges, cost &amp; conveyance, dumping, labour charges, all leads &amp; lifts and other incidental and operational charges etc., complete.</t>
  </si>
  <si>
    <t>Part A</t>
  </si>
  <si>
    <t>ABSTRACT OF COST</t>
  </si>
  <si>
    <t>Item</t>
  </si>
  <si>
    <t>Amount in Rs.</t>
  </si>
  <si>
    <t>Add 12% GST</t>
  </si>
  <si>
    <t>NAC 0.1%</t>
  </si>
  <si>
    <t>Add 3% contigencies</t>
  </si>
  <si>
    <t>Add for price excalation</t>
  </si>
  <si>
    <t>LS for unforseen items</t>
  </si>
  <si>
    <t>TOTAL</t>
  </si>
  <si>
    <t>TOTAL in Crores</t>
  </si>
  <si>
    <t>Total Cost</t>
  </si>
  <si>
    <t>DATA FOR 1000mm DIA NP 3 CLASS PIPES</t>
  </si>
  <si>
    <t>DATA FOR 800mm DIA NP 3 CLASS PIPES</t>
  </si>
  <si>
    <t>Manufacture, Supply and Delivery of R.C.C. Spun / Vibrated Cast (Reinforced) Socket and Spigot pipes 800mm internal dia conforming to B.I.S. 458/2003 at exfactory (rate per meter of effective length) including laying and jointing conveyance to site and testing etc., complete</t>
  </si>
  <si>
    <t>Manufacture, Supply and Delivery of R.C.C. Spun / Vibrated Cast (Reinforced) Socket and Spigot pipes 1000mm internal dia conforming to B.I.S. 458/2003 at exfactory (rate per meter of effective length) including laying and jointing conveyance to site and testing etc., complete</t>
  </si>
  <si>
    <t>Transportation for 20 Km  (201.16+11.95x15) )</t>
  </si>
  <si>
    <t>Cost of laying and jointing As per SSR 2019-20</t>
  </si>
  <si>
    <t>Transportation for 20 Km  (244.85+11.95x15) )</t>
  </si>
  <si>
    <t>S.NO</t>
  </si>
  <si>
    <t>For 800 mm dia</t>
  </si>
  <si>
    <t>For 1000 mm dia</t>
  </si>
  <si>
    <t xml:space="preserve">For  800 mm dia </t>
  </si>
  <si>
    <t>CC Channeling with (1:2.5:5) Prop  PIx0.9x0.9x0.30/4 =0.13 over Manhole alround for Cover PIx0.81x0.15x0.10=0.038 deduct Channel 0.90x0.25x0.25=0.056</t>
  </si>
  <si>
    <t>Internal Plastering in CM(1:4) of 20 mm thick uniform portion PIx1.5x0.10=0.47</t>
  </si>
  <si>
    <t>External Plastering in CM(1:4) of 12 mm thick vertical portion PIx2.2x0.10= 0.69</t>
  </si>
  <si>
    <t>For 300mm RCC</t>
  </si>
  <si>
    <t>(Lead) charges for trucks and tippers for Earth / Sand/Gravel /Murrum/Lime/Surki/ per cu.meter</t>
  </si>
  <si>
    <t>Sand</t>
  </si>
  <si>
    <t>Coarse aggregate</t>
  </si>
  <si>
    <t>Brick (1000 Nos)</t>
  </si>
  <si>
    <t>Lead Upto 1km</t>
  </si>
  <si>
    <t xml:space="preserve">Description  of Material </t>
  </si>
  <si>
    <t>SSR SI.No</t>
  </si>
  <si>
    <t>Lead in Km</t>
  </si>
  <si>
    <t>Initial rate</t>
  </si>
  <si>
    <t xml:space="preserve">Lead charges </t>
  </si>
  <si>
    <t>Deduct stacking charges</t>
  </si>
  <si>
    <t>Machine crushing charges @ 25%</t>
  </si>
  <si>
    <t>Blasting charges</t>
  </si>
  <si>
    <t>Total Rate in Rs.</t>
  </si>
  <si>
    <t>As per I &amp; CAD
sl.no.27</t>
  </si>
  <si>
    <t>Fine aggregate /Sand (Screened) for Mortar ,Plastering items andSand blasting items(excluding Seigniorage charges)</t>
  </si>
  <si>
    <t>As per I &amp; CAD
sl.no.28</t>
  </si>
  <si>
    <t>As per R&amp;B SS No 35 b</t>
  </si>
  <si>
    <t xml:space="preserve">Manufactured Sand/Crushed stone sand/Rock sand 4.75mm to 2.36 mm as per IS 383
(1970) </t>
  </si>
  <si>
    <t>As per Irrigation Sl.No. 94 Pg. 5 of 483</t>
  </si>
  <si>
    <t>Sand : Robo sand (50:50) for Concrete</t>
  </si>
  <si>
    <t>Sand : Robo sand (50:50) for motar, Masonry and plastering</t>
  </si>
  <si>
    <t>Filling Sand (50:50)</t>
  </si>
  <si>
    <t>Stone dust(HBG stone chips 2.36 mm and below )</t>
  </si>
  <si>
    <t>2.36mm to 5.00mm metal</t>
  </si>
  <si>
    <t>As per R&amp;B SS No 33 a</t>
  </si>
  <si>
    <t>5mm to 7mm metal</t>
  </si>
  <si>
    <t>As per R&amp;B SS No 33 b</t>
  </si>
  <si>
    <t>9.5 - 11.2 mm metal</t>
  </si>
  <si>
    <t>As per R&amp;B SS No 33 c</t>
  </si>
  <si>
    <t>12 - 14 mm metal</t>
  </si>
  <si>
    <t>As per R&amp;B SS No 33 d</t>
  </si>
  <si>
    <t>19 - 22 mm metal</t>
  </si>
  <si>
    <t>As per R&amp;B SS No 33 e</t>
  </si>
  <si>
    <t>25 - 27 mm metal</t>
  </si>
  <si>
    <t>As per R&amp;B SS No 33 f</t>
  </si>
  <si>
    <t>40 - 45 mm metal</t>
  </si>
  <si>
    <t>As per R&amp;B SS No 33 g</t>
  </si>
  <si>
    <t>50 - 55 mm metal</t>
  </si>
  <si>
    <t>As per R&amp;B SS No 33 h</t>
  </si>
  <si>
    <t>60 - 63 mm metal</t>
  </si>
  <si>
    <t>As per R&amp;B SS No 33 i</t>
  </si>
  <si>
    <t xml:space="preserve">65mm metal </t>
  </si>
  <si>
    <t>As per R&amp;B SS No 33 j</t>
  </si>
  <si>
    <t xml:space="preserve">75mm metal </t>
  </si>
  <si>
    <t>As per R&amp;B SS No 33 k</t>
  </si>
  <si>
    <t>soling stone of 150mm sizeof granite</t>
  </si>
  <si>
    <t>As per R&amp;B SS No 33 z3</t>
  </si>
  <si>
    <t xml:space="preserve">As per R&amp;B SS No 34.00 </t>
  </si>
  <si>
    <t>Quarry rubbish</t>
  </si>
  <si>
    <t>As per R&amp;B SS No 35 a</t>
  </si>
  <si>
    <t>20  mm metal SS 5</t>
  </si>
  <si>
    <t>40 mm metal ss5</t>
  </si>
  <si>
    <t>10 mm metal ss5</t>
  </si>
  <si>
    <t>As per R&amp;B SS No 33b</t>
  </si>
  <si>
    <t>RR masonary (Granite)</t>
  </si>
  <si>
    <t>As per R&amp;B SS No 12 g</t>
  </si>
  <si>
    <t>As per R&amp;B SS No 22 b i</t>
  </si>
  <si>
    <t>Bond stone (600X200X200)</t>
  </si>
  <si>
    <t>As per R&amp;B SS No 28</t>
  </si>
  <si>
    <t>compensation of earth excluding Seigniorage</t>
  </si>
  <si>
    <t>as per GO</t>
  </si>
  <si>
    <t>As per IS 458</t>
  </si>
  <si>
    <t>Dia in mm</t>
  </si>
  <si>
    <t>Barrel 
thickness in mm</t>
  </si>
  <si>
    <t>Steel kgs/m</t>
  </si>
  <si>
    <t>CC qty in cum</t>
  </si>
  <si>
    <t>steel qty in kgs</t>
  </si>
  <si>
    <t>Cement Rate adopted</t>
  </si>
  <si>
    <t>Present Cement Rate</t>
  </si>
  <si>
    <t>Steel  Rate adopted</t>
  </si>
  <si>
    <t>Present steel Rate</t>
  </si>
  <si>
    <t>Variation in cost of Cement (S2-S1)/1000 X Ws</t>
  </si>
  <si>
    <t>Variation in cost of Steel (S2-S1)/1000 X Ws</t>
  </si>
  <si>
    <t>Total Variation</t>
  </si>
  <si>
    <t>Longi</t>
  </si>
  <si>
    <t>spiral</t>
  </si>
  <si>
    <t>Min. cement for NP3 pipes = 400 kg/ cum</t>
  </si>
  <si>
    <t xml:space="preserve">Cement Rate </t>
  </si>
  <si>
    <t>dia of pipe</t>
  </si>
  <si>
    <t>ssr rate</t>
  </si>
  <si>
    <t>variation</t>
  </si>
  <si>
    <t xml:space="preserve">transportation charges </t>
  </si>
  <si>
    <t>lowering+ruber rings</t>
  </si>
  <si>
    <t>total cost</t>
  </si>
  <si>
    <t>Contractor Profit 13.615%</t>
  </si>
  <si>
    <t xml:space="preserve"> CP @13.615</t>
  </si>
  <si>
    <t>CP @ 13.615%</t>
  </si>
  <si>
    <t>Cement Mortar (1 : 6) (USED IN BRICK WORK)</t>
  </si>
  <si>
    <t>cp @ 13.615 %</t>
  </si>
  <si>
    <t xml:space="preserve">Pipe </t>
  </si>
  <si>
    <t>Dia of MH =</t>
  </si>
  <si>
    <t>H 1 =</t>
  </si>
  <si>
    <t>T1 =</t>
  </si>
  <si>
    <t>H2 =</t>
  </si>
  <si>
    <t>T2 =</t>
  </si>
  <si>
    <t>Bed Th =</t>
  </si>
  <si>
    <t>Clear Opening of Cover =</t>
  </si>
  <si>
    <t xml:space="preserve">Add Depth till 1.65 m </t>
  </si>
  <si>
    <t>H3 =</t>
  </si>
  <si>
    <t>T3 =</t>
  </si>
  <si>
    <t>Pipe</t>
  </si>
  <si>
    <t>Rate for 0.65meters  depth</t>
  </si>
  <si>
    <t>Rate for 0.1meters  depth</t>
  </si>
  <si>
    <t>Rate for 0.10 meters depth</t>
  </si>
  <si>
    <t>Rate for 2.0 meters  depth</t>
  </si>
  <si>
    <t xml:space="preserve">Rock Sand </t>
  </si>
  <si>
    <t xml:space="preserve">Mazdoor </t>
  </si>
  <si>
    <t>b)      Machinery</t>
  </si>
  <si>
    <t>Add 13.615% CP</t>
  </si>
  <si>
    <t>e)Rate per cum =  (a+b+c+d)</t>
  </si>
  <si>
    <t>narrow trenches</t>
  </si>
  <si>
    <t>Loading</t>
  </si>
  <si>
    <t>Unloading</t>
  </si>
  <si>
    <t>Fine aggregate/Sand(unscreened)for filling and blind age (excluding Seigniorage charges)</t>
  </si>
  <si>
    <t>Fine aggregate/ sand(un-screened) for Concrete &amp; Filtering items) (excluding Seigniorage charges)</t>
  </si>
  <si>
    <t>coused Rubble for CR masonary (30x30x45)</t>
  </si>
  <si>
    <t>As per Sl 13 0f Pg 27</t>
  </si>
  <si>
    <t>Through Stone (200x200x4500)</t>
  </si>
  <si>
    <t>Sl No 75 Pg 29</t>
  </si>
  <si>
    <t>Traditional Bricks 230x110x70</t>
  </si>
  <si>
    <t>TBSC-A.I- 1</t>
  </si>
  <si>
    <t>TBSCA. II-08</t>
  </si>
  <si>
    <t>TBSCA.
II-12</t>
  </si>
  <si>
    <t xml:space="preserve">Rates of Material for the Year 2020-21 </t>
  </si>
  <si>
    <t>Mazdoor</t>
  </si>
  <si>
    <t>Muncipal Allowance</t>
  </si>
  <si>
    <t>Overheads and CP</t>
  </si>
  <si>
    <t>Mason Class II</t>
  </si>
  <si>
    <t>Painter Class I</t>
  </si>
  <si>
    <t>Welder</t>
  </si>
  <si>
    <t>Fitter</t>
  </si>
  <si>
    <t>Blaster Licensed</t>
  </si>
  <si>
    <t>Barbender</t>
  </si>
  <si>
    <t>Blacksmith</t>
  </si>
  <si>
    <t>Surveyor</t>
  </si>
  <si>
    <t>Electrician/ Linemen</t>
  </si>
  <si>
    <t>Concrete Mixer</t>
  </si>
  <si>
    <t>Concrete Mixer Crew</t>
  </si>
  <si>
    <t>Rural</t>
  </si>
  <si>
    <t>Needle Vibrator</t>
  </si>
  <si>
    <t>Urban</t>
  </si>
  <si>
    <t xml:space="preserve">Crew </t>
  </si>
  <si>
    <t>Excavator 1 Cum</t>
  </si>
  <si>
    <t>Crew Charges</t>
  </si>
  <si>
    <t>Air Compressor</t>
  </si>
  <si>
    <t>Crew</t>
  </si>
  <si>
    <t>Jack Hammer</t>
  </si>
  <si>
    <t>Tractor with roller</t>
  </si>
  <si>
    <t>Front End Loader</t>
  </si>
  <si>
    <t>Batching plant 2 x 1.50 cum(50 cum/hr)</t>
  </si>
  <si>
    <t>Electric Generator 250 KV</t>
  </si>
  <si>
    <t>Electric Generator 100 KV</t>
  </si>
  <si>
    <t>Electric Generator 125 KV</t>
  </si>
  <si>
    <t>Water Tanker 6 KL</t>
  </si>
  <si>
    <t>Transit Truck Agitator per tonne-Km</t>
  </si>
  <si>
    <t>Wet Mix Plant 60 TPH</t>
  </si>
  <si>
    <t>Paver finisher 
Mechanical 100 WMM/DLC</t>
  </si>
  <si>
    <t>Vibratory Roller</t>
  </si>
  <si>
    <t>Dozer D 50</t>
  </si>
  <si>
    <t>Motor Grader</t>
  </si>
  <si>
    <t>Tractor with 3T Trolley</t>
  </si>
  <si>
    <t>Tractor with ripper attachment</t>
  </si>
  <si>
    <t>Tipper 5 Cum per Hr</t>
  </si>
  <si>
    <t>Hydraulic broom</t>
  </si>
  <si>
    <t>Bitumen emulsion Pressure Distributor</t>
  </si>
  <si>
    <t>Batch mix HMP 60 TPH</t>
  </si>
  <si>
    <t>Paver  finisher with hydraulic sensor</t>
  </si>
  <si>
    <t>Smooth wheeled roller</t>
  </si>
  <si>
    <t>Batching Plant 15 cum/ hr</t>
  </si>
  <si>
    <t>Transit Mixer 2 Cum</t>
  </si>
  <si>
    <t>Concrete Pump</t>
  </si>
  <si>
    <t>Kerb Casting Machine</t>
  </si>
  <si>
    <t>Road Marking Machine</t>
  </si>
  <si>
    <t>Rate for 0.60meters  depth</t>
  </si>
  <si>
    <t>Material Obtained from Surface Rock or Boulders</t>
  </si>
  <si>
    <r>
      <t xml:space="preserve">Note : 1. </t>
    </r>
    <r>
      <rPr>
        <sz val="12"/>
        <rFont val="Times New Roman"/>
        <family val="1"/>
      </rPr>
      <t>Credit is considered for 50 per cent of quantity of blasted rock, if found suitable for construction.</t>
    </r>
  </si>
  <si>
    <r>
      <t xml:space="preserve">2. </t>
    </r>
    <r>
      <rPr>
        <sz val="12"/>
        <rFont val="Times New Roman"/>
        <family val="1"/>
      </rPr>
      <t>In case some rock is issued to the Contractor at site, the item of carriage shall be reduced to that extent.</t>
    </r>
  </si>
  <si>
    <t>Cutting sheet rock including stockng of excavated materials  (Observed Rates )</t>
  </si>
  <si>
    <r>
      <t>Supplying and filling sand in trenches ,sides of the foundations</t>
    </r>
    <r>
      <rPr>
        <sz val="12"/>
        <rFont val="Times New Roman"/>
        <family val="1"/>
      </rPr>
      <t xml:space="preserve"> and basement with initial lead in layers not exceeding 15 cm thick consolidatiing each depposited layer by watering and rampping including cost and conveyance of water  to work site and all operational incidental ,labour charges hire charges and T &amp; O Complete for finished item</t>
    </r>
    <r>
      <rPr>
        <b/>
        <sz val="12"/>
        <rFont val="Times New Roman"/>
        <family val="1"/>
      </rPr>
      <t xml:space="preserve"> APSS 309 &amp;310)  </t>
    </r>
  </si>
  <si>
    <r>
      <t xml:space="preserve">Plain Cement concrete (1:4:8) </t>
    </r>
    <r>
      <rPr>
        <sz val="12"/>
        <rFont val="Times New Roman"/>
        <family val="1"/>
      </rPr>
      <t>using 40 mm metal with concrete mixture.           All work upto plinth level.</t>
    </r>
  </si>
  <si>
    <r>
      <t>Mason 1</t>
    </r>
    <r>
      <rPr>
        <vertAlign val="superscript"/>
        <sz val="12"/>
        <rFont val="Times New Roman"/>
        <family val="1"/>
      </rPr>
      <t>st</t>
    </r>
    <r>
      <rPr>
        <sz val="12"/>
        <rFont val="Times New Roman"/>
        <family val="1"/>
      </rPr>
      <t xml:space="preserve"> class</t>
    </r>
  </si>
  <si>
    <r>
      <t xml:space="preserve">Plain Cement concrete (1:5:10) using 40 mm metal </t>
    </r>
    <r>
      <rPr>
        <sz val="12"/>
        <rFont val="Times New Roman"/>
        <family val="1"/>
      </rPr>
      <t>with Concrete mixture.  All work upto plinth level.</t>
    </r>
  </si>
  <si>
    <r>
      <t>Masonry work i</t>
    </r>
    <r>
      <rPr>
        <sz val="12"/>
        <rFont val="Times New Roman"/>
        <family val="1"/>
      </rPr>
      <t xml:space="preserve">n CM (1:6) prop with </t>
    </r>
    <r>
      <rPr>
        <b/>
        <sz val="12"/>
        <rFont val="Times New Roman"/>
        <family val="1"/>
      </rPr>
      <t>Flyash Cement solid blocks</t>
    </r>
    <r>
      <rPr>
        <sz val="12"/>
        <rFont val="Times New Roman"/>
        <family val="1"/>
      </rPr>
      <t xml:space="preserve"> of size 225 x 100 x 60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r>
  </si>
  <si>
    <r>
      <t>Mason 2</t>
    </r>
    <r>
      <rPr>
        <vertAlign val="superscript"/>
        <sz val="12"/>
        <rFont val="Times New Roman"/>
        <family val="1"/>
      </rPr>
      <t>nd</t>
    </r>
    <r>
      <rPr>
        <sz val="12"/>
        <rFont val="Times New Roman"/>
        <family val="1"/>
      </rPr>
      <t xml:space="preserve"> class</t>
    </r>
  </si>
  <si>
    <t xml:space="preserve">Granite fo Rivetment 300 mm </t>
  </si>
  <si>
    <t>Dozer-80</t>
  </si>
  <si>
    <t>Electric detonators @ 1 detonator for 1/2 gelatin stick of 125 gms eacheach</t>
  </si>
  <si>
    <t>Air compressor, 250 cfm  and 2 jack hammers</t>
  </si>
  <si>
    <t>Taking output = 240 cum</t>
  </si>
  <si>
    <t>Hydraulic excavator 1 cum bucket capacity @ 100 cum per hour</t>
  </si>
  <si>
    <t>Morth 304-12.1</t>
  </si>
  <si>
    <t>Excavation for  underground drainage lines in soil with hydraulic excavator of  0.9 cum bucket capacity in narrow trenches including cutting and loading, trimming bottom and side slopes, in accordance with requirements of lines, grades and cross-sections, setting out, construction of shoring strutting and bracing, removal of stumps and other deleterious material and disposal with all lifts and lead upto 1000 m including dressing of sides and bottom backfilling as per Technical Specification Clause 302.3 MORD /  301 MORTH for Pipe Line Trenches, including provision for narrow trenches in restricted areas, including contractor's profit and overhead charges but excluding Seigniorage Charges, compete for finished items of work and as directed by Engineer-in charge</t>
  </si>
  <si>
    <t>Manufacture, Supply and Delivery of various internal dia R.C.C. NP 3 Spun / Vibrated Cast (Reinforced) Socket and Spigot pipes with M35 grade concrete conforming to B.I.S. 458/2003 at exfactory (rate per meter of effective length) in standard lengths using Sulphate Resistant Cement confirming to IS 12330/1998 including laying and jointing, lowering in the readymade trenches,cost of rubber rings, conveyance to site inclding cost of all materials unloading, hoisting, laying true to aligmnet and gradient by using cranes jointing with rubber rings all other incidental and operational charges and testing,contractor's profit and overhead charges but excluding Seignorage Chrages etc., complete for finished item of work and as directed by the Engineer-in-charge.</t>
  </si>
  <si>
    <t>Constructon  of  0.90 M   Circular Sewer Man hole of 0.90 mts x 0.56m of 1.0 M depths with Fly ash cement solid blocks with compressive strength of 50 kg/sq.cm - IS:12894-1990 - CLASS - 5,225 x 100 x 60 mm in cm 1:6 prop and  corbelling too including CC bed ( 1: 4 : 8 ) prop using 40 mm gauge HG  Metal 0.15 mt thick and CC (1:2:4) Prop  benching / chanelling,internal plastering with 20 mm thick cm 1:4 and External Plastering with 12mm thick CM (1:4) with fine rendering including cost and fixing of CI steps and fixing FC/ CI cover and frame but excluding the cost of cover and frame, including the cost and conveyance of all materials at site complete and curing for 21 days, contractors profit and overhead charges but excluding seignarage charges as per specification etc., with various dia pipe. complete for finished item of work and as directed by the Engineer-in-charge.</t>
  </si>
  <si>
    <t>Construction of additional man hole 0.10 m depth, construction  of  0.90 m circular sewer manhole of 1 to 1.65 m depth  with Fly ash cement solid blocks with compressive strength of 50 kg/sq.cm - IS:12894-1990 - CLASS - 5,225 x 100 x 60 mm in CM (1:6) prop as per specification, etc. complete.  Internal plastering with 20 mm thick in CM (1:4) and external plastering with 12 mm thick in CM(1:4) with fine rendering  including cost and fixing of CI steps and fixing FC/CI cover and frame but excluding the cost of cover and frame,  including the cost and conveyance of all materials at site, complete and curing for 21 days complete, Contractor's profit and overhead charges but excluding seigniorage charges as per specification etc., complete for finished item of work and as directed by the Engineer-in-charge</t>
  </si>
  <si>
    <t>Construction of  Additional manhole 0.10 M depth constructon  of 1.2 circular sewer man hole of 1.65-2.3 mts depth with   Fly ash cement solid blocks with compressive strength of 50 kg/sq.cm - IS:12894-1990 - CLASS - 5,225 x 100 x 60 mm in CM(1:6) Prop as per specification etc complete. Internal plastering with 20 mm thick CM (1:4) and External plastering with 12mm thick CM (1:4) with fine rendering including cost and fixing of CI steps and fixing FC/ CI cover and frame but excluding the cost of cover and frame, including the cost and conveyance of all materials at site complete and curing for 21 days complete, Contractor's profit and overhead charges, but excluding seignarage charges as per specification etc.complete for finished item of work and as directed by the Engineer-in-charge.</t>
  </si>
  <si>
    <t>Supply &amp; Delivery of manhole covers with ISI marking anywhere in A.P, F.O.R destination including loading, un-loading at site, Contractor's profit and overhead charges  etc as applicable ISI Mark, complete for finished item of work and as directed by the Engineer-in-charge.</t>
  </si>
  <si>
    <t>b) Material</t>
  </si>
  <si>
    <t>(d)Addforwatercharges@1%onLabour&amp;TestingCharges</t>
  </si>
  <si>
    <t>Rate per metre = g/30</t>
  </si>
  <si>
    <t>T</t>
  </si>
  <si>
    <t>Day</t>
  </si>
  <si>
    <t>For 200 mm dia SWG SP-1</t>
  </si>
  <si>
    <t>Supply, Lowering, laying and jointing of 200mm dia SWG SP1 pipe in ready made trench true to alignment and gradient,jointing, and testing of stone ware pipes including cost of jointing material such as cement mortar (1:1) proportion and hemp yarn including cost and conveyance of pipe. (Reference to specifications BIS No.6530/72) PHE-LJSW-13 including loading and unloading, Contractor's profit and overhead charges complete for finished item and  as directed by the Engineer-in-charge.</t>
  </si>
  <si>
    <t>For Man Holes</t>
  </si>
  <si>
    <t>Excavation for under ground drainage lines in hard rock  in narrow trenches with controlled  blasting by drilling, blasting and breaking, trimming of bottom and side slopes in accordance with requirements of lines, grades and cross-sections,setting out, construction of shoring, strutting  and bracing, removal of stumps and other deleterious material, loading and disposal of cut rock with all lifts and leads upto 1000 m  including dressing of sides and bottom, backfilling as per Technical Specification Clause 302.3.5 MORD / 301 MORTH for Pipe Line Trenchs including provision for narrow trenches in restricted areas and contractor's profit and overhead charges but excluding Seigniorage Charges,complete for finished items of work and as directed by Engineer-in charge</t>
  </si>
  <si>
    <t>S.No</t>
  </si>
  <si>
    <t xml:space="preserve">For 200mm  Dia  </t>
  </si>
  <si>
    <t xml:space="preserve">For 300mm  Dia  </t>
  </si>
  <si>
    <t xml:space="preserve">For 450mm  Dia  </t>
  </si>
  <si>
    <t>deduct pipe volume (200mm dia)</t>
  </si>
  <si>
    <t>For 200mm SWG SP1 Pipe</t>
  </si>
  <si>
    <t>For 1.0  m Depth  200 Pipe Line</t>
  </si>
  <si>
    <t>No's</t>
  </si>
  <si>
    <t>Construction of circular sewer man hole of 1.20 m x 0.56 m  of 1.65 m depths with Fly ash cement solid blocks with compressive strength of 50 kg/sq.cm - IS:12894-1990 - CLASS - 5,225 x 100 x 60 mm in CM 1:6 prop and corbellng too, including CC bed (1:4:8) prop using 40 mm guage HG metal 0.20 m thick  and CC (1:2:4) prop. Benching / chanelling ,internal plastering  with 20 mm thick in CM (1:4) and external plastering with 12 mm thick in CM(1:4)with fine rendering including cost and fixing of CI steps and fixing FC/CI cover and frame  but excluding the cost of cover and frame, including the cost and conveyance of all materials at site complete and curing for 21 days, complete, contractor's Profit and overhead charges but excluding seignorage charges as per specification, etc. with various dia pipe complete for finished item of work and as directed by the Engineer-in-charge.</t>
  </si>
  <si>
    <t>Provision for GST @ 12%</t>
  </si>
  <si>
    <t>Total Estimate Cost</t>
  </si>
  <si>
    <t xml:space="preserve">Sub Total </t>
  </si>
  <si>
    <t>(BLD-CSTN 2-8)- Reffling  with usefull available excavated earth / soils  in trenches ,sides of foundations &amp; basement and the pipeline trenches after laid, jointed, executed, tested  with intial lead in layors not exceeding 15 cm thick , consolidating each deposited layer by watering consolidting each layer by watering and ramming including cost and conveyonce of water to work site and all operational ,incidental,labour charges,hire charges of T&amp;P .,Complete for finished item of work and as directed by the Engineer-in-charge.</t>
  </si>
  <si>
    <t xml:space="preserve">(BLD-CSTN 2-8) - Reffling  with usefull available excavated earth / soils  in trenches ,sides of foundations &amp; basement and the pipeline trenches after laid, jointed, executed, tested  with intial lead in layors not exceeding 15 cm thick , consolidating each deposited layer by watering consolidting each layer by watering and ramming including cost and conveyonce of water to work site and all operational ,incidental,labour charges,hire charges of T&amp;P .,Complete for finished item of work and as directed by the Engineer-in-charge.(APSS No.309&amp;310) </t>
  </si>
  <si>
    <t>Provision for Seignorage charges @ 5%</t>
  </si>
  <si>
    <t>Provision for Price Adjestment @ 5%</t>
  </si>
  <si>
    <t>L.S for Unforseen Items and Rounding off</t>
  </si>
  <si>
    <r>
      <t>Supplying and filling robo sand</t>
    </r>
    <r>
      <rPr>
        <sz val="12"/>
        <rFont val="Times New Roman"/>
        <family val="1"/>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2"/>
        <rFont val="Times New Roman"/>
        <family val="1"/>
      </rPr>
      <t>APSS 309 &amp;310)  - BLD-CSTN-2-8 Amnedment A(2)</t>
    </r>
  </si>
  <si>
    <t>out put = 6 Cum</t>
  </si>
  <si>
    <t>(h) Cost for 30 m (e+f)</t>
  </si>
  <si>
    <t>(g) Add Municipal Allowance @ 40%</t>
  </si>
  <si>
    <t>Detail cost for 30 meters - PHE-LJSW-13</t>
  </si>
  <si>
    <t>Providing Underground Drainage System in Uppal Bhagath Layout (29.09 Acrs)</t>
  </si>
  <si>
    <t>DATA FOR 300mm DIA NP 3 CLASS PIPES</t>
  </si>
  <si>
    <t>Transportation for 20 Km  (57.4+15x1.82) )</t>
  </si>
  <si>
    <t>300mm dia</t>
  </si>
  <si>
    <t>(Rate of S/s as per CSSR 2019-20)</t>
  </si>
  <si>
    <t>DATA FOR 600mm DIA NP 3 CLASS PIPES</t>
  </si>
  <si>
    <t>Transportation for 20 Km  (126.21+6.05x15) )</t>
  </si>
  <si>
    <t>HYSDSteelFe 500 May 2021</t>
  </si>
  <si>
    <t>MS Plates May 2021</t>
  </si>
  <si>
    <t>MS  Angles,Chanels,beams May 2021</t>
  </si>
  <si>
    <t xml:space="preserve"> OPC Cement( for the month May 2021)</t>
  </si>
  <si>
    <t xml:space="preserve"> Fly ash cement/ lime solid blocks with compressive strength of 50 kg/sq.cm - IS:12894- 1990 - CLASS - 5 290 x 225 x 140 mm</t>
  </si>
  <si>
    <t>Fly ash cement/ lime solid blocks with compressive strength of 50 kg/sq.cm - IS:12894- 1990 - CLASS - 5 225 x 100 x 60 mm</t>
  </si>
  <si>
    <t>Fine aggregate/Sand (unscreened) for filling and blind age (excluding Seigniorage charges)</t>
  </si>
  <si>
    <t xml:space="preserve"> granite  Rivetment 300 mm </t>
  </si>
  <si>
    <t xml:space="preserve"> OPC Cement( for the month Sep 2020)</t>
  </si>
  <si>
    <t xml:space="preserve"> Fly ash cement/ lime solid blocks with
compressive strength of 50 kg/sq.cm -
IS:12894- 1990 - CLASS - 5 290 x 225 x 140 mm</t>
  </si>
  <si>
    <t>Fly ash cement/ lime solid blocks with
compressive strength of 50 kg/sq.cm -
IS:12894- 1990 - CLASS - 5 225 x 100 x 60 mm</t>
  </si>
  <si>
    <t>HYSDSteelFe 500 Sep 2020</t>
  </si>
  <si>
    <t>MS Plates Sep 2020</t>
  </si>
  <si>
    <t>MS  Angles,Chanels,beams Sep 2020</t>
  </si>
  <si>
    <t xml:space="preserve"> CP</t>
  </si>
  <si>
    <t>Overheads</t>
  </si>
  <si>
    <t>Overheads for MB</t>
  </si>
  <si>
    <t>Tandem Roller</t>
  </si>
  <si>
    <t>Dozer D 80</t>
  </si>
  <si>
    <t>Labour Charges for Dozer</t>
  </si>
  <si>
    <t>Batch mix HMP 100 TPH</t>
  </si>
  <si>
    <t>Batching Plant 30 cum/ hr</t>
  </si>
  <si>
    <t>Tractor Rotovator</t>
  </si>
  <si>
    <t>DG Set 30 KV</t>
  </si>
  <si>
    <t>Labour</t>
  </si>
  <si>
    <t>DG Set 50 KV</t>
  </si>
  <si>
    <t>Fly ash cement/ lime solid blocks with compressive strength of 50 kg/sq.cm - IS:12894- 1990 - CLASS - 5 290 x 225 x 140 mm</t>
  </si>
  <si>
    <t>Fly ash cement/ lime solid blocks with compressive strength of 50 kg/sq.cm -IS:12894- 1990 - CLASS - 5 225 x 100 x 60 mm</t>
  </si>
  <si>
    <t>with 2 jack hammers</t>
  </si>
  <si>
    <t>Contractor Profit</t>
  </si>
  <si>
    <r>
      <rPr>
        <b/>
        <sz val="12"/>
        <rFont val="Times New Roman"/>
        <family val="1"/>
      </rPr>
      <t xml:space="preserve">H.D.-35 with 560mm dia </t>
    </r>
    <r>
      <rPr>
        <sz val="12"/>
        <rFont val="Times New Roman"/>
        <family val="1"/>
      </rPr>
      <t>clear opening</t>
    </r>
  </si>
  <si>
    <t>Rate for 0.1meters  Additional depth</t>
  </si>
  <si>
    <t>D E T A I  L E D   A N D   A B S T R A C T   E S T I M A T E</t>
  </si>
  <si>
    <t>200mm</t>
  </si>
  <si>
    <t>300mm</t>
  </si>
  <si>
    <t>400mm</t>
  </si>
  <si>
    <t>(g) Add Municipal Allowance @ 25%</t>
  </si>
  <si>
    <t>Add 25% Area allowances on lobour component as per SSR @ P.2</t>
  </si>
  <si>
    <t>MA for labour @ 25%</t>
  </si>
  <si>
    <t>Excavation in Hard Rock (controlled blasting) with disposal upto 1000 metres Excavation for roadway in hard rock with controlled blasting by drilling, blasting and breaking, trimming of bottom and side slopes in accordance with requirements of lines, grades and cross sections, loading and disposal of cut road with in all lifts and leads upto 1000 metres.</t>
  </si>
  <si>
    <t>MA @ 25% for  Crew dozer</t>
  </si>
  <si>
    <t>MA @ 25% for  Crew Air Compressor</t>
  </si>
  <si>
    <t>MA @ 25% for Crew of Tippers</t>
  </si>
  <si>
    <t>MA @ 25% for Jack Hammer</t>
  </si>
  <si>
    <t>Add Mucipal Limits @ 25%</t>
  </si>
  <si>
    <t>Add Area Allowance  @ 25%</t>
  </si>
  <si>
    <t>Add Mucipal Limits @25%</t>
  </si>
  <si>
    <t>AEE</t>
  </si>
  <si>
    <t>Dy EE</t>
  </si>
  <si>
    <t>50 cum/hr</t>
  </si>
  <si>
    <t>Batching Plant 30cum/ hr</t>
  </si>
  <si>
    <t>EE, DIV - II</t>
  </si>
  <si>
    <t>RBR-FNDN-1,B(i)</t>
  </si>
  <si>
    <t>e)Rate per cum =  (a+b+c+d)/240</t>
  </si>
  <si>
    <t xml:space="preserve"> CP &amp; OH</t>
  </si>
  <si>
    <t>RBR-EECD-9 (iii)</t>
  </si>
  <si>
    <t>Stone Ware Pipes</t>
  </si>
  <si>
    <t>Lowering and laying in ready made trench true to alignment and gradient, jointing, and testing of stoneware pipes including cost of jointing material such as cemen tmortar(1:1) proportion and hemp yarn but excluding cost and conveyanc e of pipe .(Reference to specifications BIS No.6530/72)</t>
  </si>
  <si>
    <t>Detail Cost for 30m</t>
  </si>
  <si>
    <t>1) 100mm dia</t>
  </si>
  <si>
    <t>Each/Rmt</t>
  </si>
  <si>
    <t>Tonne</t>
  </si>
  <si>
    <t>Kgs</t>
  </si>
  <si>
    <t>(d)Add for water charges @1% on Labour &amp; Testing Charges</t>
  </si>
  <si>
    <t>ii) 150mm dia</t>
  </si>
  <si>
    <t xml:space="preserve">Spun yarn </t>
  </si>
  <si>
    <t>iii) 200mm dia</t>
  </si>
  <si>
    <t>MA for Labour @ 20%</t>
  </si>
  <si>
    <t>iii) 250mm dia</t>
  </si>
  <si>
    <t>iii) 300mm dia</t>
  </si>
  <si>
    <t>NP3 - RCC pipes made by Casting process</t>
  </si>
  <si>
    <t>MA @ 25% for Labour</t>
  </si>
  <si>
    <t>BASIC COST per 1 Sqm</t>
  </si>
  <si>
    <t>BLD-CSTN-5-17</t>
  </si>
  <si>
    <r>
      <t>Supplying and filling robo sand</t>
    </r>
    <r>
      <rPr>
        <sz val="12"/>
        <rFont val="Times New Roman"/>
        <family val="1"/>
      </rPr>
      <t xml:space="preserve">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t>
    </r>
    <r>
      <rPr>
        <b/>
        <sz val="12"/>
        <rFont val="Times New Roman"/>
        <family val="1"/>
      </rPr>
      <t xml:space="preserve">APSS 309 &amp;310)  </t>
    </r>
  </si>
  <si>
    <t>Supplying and filling robo sand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APSS 309 &amp;310)  and as directed by Engineer-in charge</t>
  </si>
  <si>
    <t>200 mm dia SW pipe 60cm long (TBSP-A.II-03 )</t>
  </si>
  <si>
    <t>For 300 mm dia (100 ft, 80 ft &amp; 60 ft roads)</t>
  </si>
  <si>
    <t>Take 80%</t>
  </si>
  <si>
    <t>Credit for excavated rock</t>
  </si>
  <si>
    <t>Total Excavated Qty</t>
  </si>
  <si>
    <t>MS 6mm Rods Aug 2023</t>
  </si>
  <si>
    <t>MS  Angles,Chanels,beams Aug 2023</t>
  </si>
  <si>
    <t>MS Plates Aug 2023</t>
  </si>
  <si>
    <t>HYSDSteelFe 500 Aug 2023</t>
  </si>
  <si>
    <t>SSR 2023-24</t>
  </si>
  <si>
    <t xml:space="preserve"> OPC Cement( for the month Aug 2023)</t>
  </si>
  <si>
    <t>for 1.0  m Depth  300 Pipe Line</t>
  </si>
  <si>
    <t>for 1.0  m Depth  450 Pipe Line</t>
  </si>
  <si>
    <t xml:space="preserve">Above 1.65 m and below 2.3m depth 300 mm dia Pipe </t>
  </si>
  <si>
    <t xml:space="preserve">Above 1.65 m and below 2.3 m depth 450 mm dia Pipe </t>
  </si>
  <si>
    <t xml:space="preserve">Above 1.65 m and below 2.3m depth 200 mm dia Pipe </t>
  </si>
  <si>
    <t>For Man Holes
For 300 mm dia (100 ft, 80 ft &amp; 60 ft roads)</t>
  </si>
  <si>
    <t xml:space="preserve">Above 2.30 m and below 3.00m depth 200 mm dia Pipe </t>
  </si>
  <si>
    <t xml:space="preserve">Above 2.30 m and below 3.00m depth 300 mm dia Pipe </t>
  </si>
  <si>
    <t xml:space="preserve">Above 2.30 m and below 3.00m  depth 450 mm dia Pipe </t>
  </si>
  <si>
    <t xml:space="preserve"> 3.00m depth 200 mm dia Pipe </t>
  </si>
  <si>
    <t xml:space="preserve"> 3.00m depth 300 mm dia Pipe </t>
  </si>
  <si>
    <t xml:space="preserve"> 3.00m  depth 450 mm dia Pipe </t>
  </si>
  <si>
    <t xml:space="preserve">for  (100 ft, 80 ft &amp; 60 ft roads) other side
Above 1.65 m and below 2.3m depth 300 mm dia Pipe </t>
  </si>
  <si>
    <t>Providing Under Ground Drainage to Layout at Mokila Sy.no 96/P of Mokila (V) , Shankarpally (M), R.R.Dist.</t>
  </si>
  <si>
    <t>MA @ 40 % for Crew of Hydraulic excavator</t>
  </si>
  <si>
    <t>For  200 mm dia (SWG)</t>
  </si>
  <si>
    <t>For  250 mm dia (SWG)</t>
  </si>
  <si>
    <t>250 mm dia</t>
  </si>
  <si>
    <t>300 mm dia</t>
  </si>
  <si>
    <t>CC in CM( 1:4:8) PI/4x(0.9+0.46+0.3)x0.15=0.325</t>
  </si>
  <si>
    <t>External Plastering in CM(1:4) of 12 mm thick vertical portion PIx1.36x0.30=1.28 and sloped portion Pix(1.36+1.01)/2x0.70 =2.66 Dedcut Pipe Portion 2xPI()/4x0.28x0.28=0.123</t>
  </si>
  <si>
    <t>Internal Plastering in CM(1:4) of 20 mm thick uniform portion PIx0.90x0.30=0.848 and Sloped Portion Pix(0.90+0.55)/2x0.770 =1.75 Dedcut Pipe Portion 2xPI()/4x0.25x0.25=0.09  (0.848+1.75-0.09=2.50)</t>
  </si>
  <si>
    <t>250dia</t>
  </si>
  <si>
    <t>300 dia</t>
  </si>
  <si>
    <t>Excavation for Structures Earth work excavation for foundation of structures as per drawings and technical specifications, including setting out, construction of shoring and bracing, removal of stumps and other deleterious matter, dressing of sides and bottom and backfilling with approved material.for Pipe Line Trenches, including provision for narrow trenches in restricted areas and excluding Seigniorage Charges</t>
  </si>
  <si>
    <t>18a</t>
  </si>
  <si>
    <t>25  mm metal SS 5</t>
  </si>
  <si>
    <t>Rates of Material for the Year 2024-25</t>
  </si>
  <si>
    <t>SSR 2024-25</t>
  </si>
  <si>
    <t>D E T A I L E D   A N D    A B S T R A C T   E S T I M A T E</t>
  </si>
  <si>
    <t>Sno</t>
  </si>
  <si>
    <t>SEIGNORAGE CHARGES/Unit</t>
  </si>
  <si>
    <t>TOTALSEIGNORAGE CHARGES</t>
  </si>
  <si>
    <t xml:space="preserve">Cutting open C.C. road surface including stocking of of exccavated materials for pipe line , including labour charges and contractor profit charges </t>
  </si>
  <si>
    <t>Yadava Colony:</t>
  </si>
  <si>
    <t>Main Road to Erukali Balakishti(H)</t>
  </si>
  <si>
    <t>Erukali Balakishti (H) to Wadde Kanakaiah (H)</t>
  </si>
  <si>
    <t>Wadde Kanakaiah (H) to Main Road via Dubbaku Narsimha (H)</t>
  </si>
  <si>
    <t>PI/4</t>
  </si>
  <si>
    <t xml:space="preserve">Earthwork in excavation for Pipe Line trench Cutting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including contractor profit </t>
  </si>
  <si>
    <t xml:space="preserve"> 300 mm dia</t>
  </si>
  <si>
    <t>Erukali Balakishti to mala Kanakaiah (H)</t>
  </si>
  <si>
    <t>Mala Kanakaiah (H) to Wadde Kanakaiah (H)</t>
  </si>
  <si>
    <t>Wadde Kanakaiah (H) to Main Road via Dubbak Narsimha(H)</t>
  </si>
  <si>
    <t>Branch Line 200 mm dia</t>
  </si>
  <si>
    <t>Main Road to Erukali Balakishti</t>
  </si>
  <si>
    <t>Andugul Peddaiah (H) gully</t>
  </si>
  <si>
    <t>Dubbak Pullaiah (H) gully</t>
  </si>
  <si>
    <t>CH Anjaneyulu (H) to Main Road</t>
  </si>
  <si>
    <t>Dubbak Mallaiah (H) to Main Road</t>
  </si>
  <si>
    <t>Main Line (Trunk Line) 300 mm dia</t>
  </si>
  <si>
    <t>From Yadava Colony towards Pedda Madgul</t>
  </si>
  <si>
    <t>Manholes</t>
  </si>
  <si>
    <t>1 cum</t>
  </si>
  <si>
    <t>MANUFACTURE, SUPPLY AND DELIVERY OF R.C.C. SOCKET AND SPIGOT PIPES CONFORMING TO B.I.S. 458/2003 AT EX-FACTORY (RATE PER METER OF EFFECTIVE LENGTH) EXCLUDING TRANSPORTATION, TAXES &amp; DUTIES. Of Non Pressure pipes  and Lowering the RCC S/S pipes carefully into the trenches laying them true to alignment and gradient, jointing with rubber rings and testing including filling with water with a water lead upto 500 meters including cost of rubber rings as per BIS No. 783/1985</t>
  </si>
  <si>
    <t>For  450 mm  Dia Line  NP3 Class</t>
  </si>
  <si>
    <t>For  250 mm  Dia Line  NP2 Class</t>
  </si>
  <si>
    <t>For  200 mm  Dia Line</t>
  </si>
  <si>
    <t>For  300 mm  Dia Line</t>
  </si>
  <si>
    <t>Constructon  of  0.90 M   Circular Sewer Man hole of 0.90 mts x 0.55 m of 0.90 M  depth with Fly ash cement  sloid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</si>
  <si>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 xml:space="preserve">For  300 mm  Dia Line </t>
  </si>
  <si>
    <t xml:space="preserve">For  200 mm  Dia Line </t>
  </si>
  <si>
    <t>Ded Pipe Portion</t>
  </si>
  <si>
    <t>II/4</t>
  </si>
  <si>
    <t>Add 0.50% QC</t>
  </si>
  <si>
    <t>Add 0.10% NAC</t>
  </si>
  <si>
    <t>Add Seigniorage charges</t>
  </si>
  <si>
    <t>Add Permit Fee</t>
  </si>
  <si>
    <t>Add 18% GST</t>
  </si>
  <si>
    <t>LS for other unforseen items</t>
  </si>
  <si>
    <t>VP447</t>
  </si>
  <si>
    <t>VP448</t>
  </si>
  <si>
    <t xml:space="preserve">Main Line Along BT Road 450mm Dia </t>
  </si>
  <si>
    <t xml:space="preserve"> Initial Socket Spigot NP2 Pipes 200 mm Dia (Non pressure)</t>
  </si>
  <si>
    <t>Add difference cost of Cement (5100-5300)/100)*0.59%*827</t>
  </si>
  <si>
    <t xml:space="preserve"> Initial Socket Spigot NP2 Pipes 300 mm Dia (Non pressure)</t>
  </si>
  <si>
    <t xml:space="preserve"> Initial Socket Spigot NP2 Pipes 350 mm Dia </t>
  </si>
  <si>
    <t xml:space="preserve"> Initial Socket Spigot NP2 Pipes 400 mm Dia </t>
  </si>
  <si>
    <t>Total E/W qty</t>
  </si>
  <si>
    <t>For 0.90  m Depth  200 Pipe Line</t>
  </si>
  <si>
    <t>for 0.90 m Depth  300 Pipe Line</t>
  </si>
  <si>
    <t>for 0.90 m Depth  450 Pipe Line</t>
  </si>
  <si>
    <t>For Additional Depths</t>
  </si>
  <si>
    <t>Construction of  un-reinforced, dowel jointed at expansion and construction joint only, plain cement concrete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14- days, curing compound (where specified) and water finishing to lines and grade as per drawing  and Technical Specification Clause 1501 MORD.</t>
  </si>
  <si>
    <t>Taking output = 75cum (172.50 t)</t>
  </si>
  <si>
    <t>(100x3.75 x 0.200)</t>
  </si>
  <si>
    <t>Mason (1st class)</t>
  </si>
  <si>
    <t>Mason (2nd class)</t>
  </si>
  <si>
    <t xml:space="preserve">Mazdoor (unskilled) </t>
  </si>
  <si>
    <t>Mazdoor(skilled)</t>
  </si>
  <si>
    <t>Mazdoor (semi-skilled)</t>
  </si>
  <si>
    <t>Area allowences</t>
  </si>
  <si>
    <t>(A)</t>
  </si>
  <si>
    <t xml:space="preserve">b) </t>
  </si>
  <si>
    <t>Machinery</t>
  </si>
  <si>
    <t>Concrete mixer 0.28/0.40 cum capacity ( 6 mixers) with weight batcher and suitable capacity calibrated water tank</t>
  </si>
  <si>
    <t xml:space="preserve">Hour </t>
  </si>
  <si>
    <t>Needle vibrator 60 mm</t>
  </si>
  <si>
    <t>Plate vibrator</t>
  </si>
  <si>
    <t>Water tanker 6 Kl. Capacity</t>
  </si>
  <si>
    <t>Air compressor ( 1hour initial + 1 hour final)</t>
  </si>
  <si>
    <t>(B)</t>
  </si>
  <si>
    <t>Material</t>
  </si>
  <si>
    <t xml:space="preserve">(I) </t>
  </si>
  <si>
    <t>Crushed stone coarse aggregates, grading will be as per clause 1501.2.4.1 (Table 1500.1) of specifications @ 0.90 Cum/cum of concrete</t>
  </si>
  <si>
    <t>20 mm</t>
  </si>
  <si>
    <t>10 mm</t>
  </si>
  <si>
    <t>(ii)</t>
  </si>
  <si>
    <t>Sand as per IS:383 and conforming to clause 1500.2.4.2. @ 0.45 cum of concrete</t>
  </si>
  <si>
    <t>(iii)</t>
  </si>
  <si>
    <t>Cement @ 330 Kg/cum of concrete</t>
  </si>
  <si>
    <t>PNo63</t>
  </si>
  <si>
    <t>Sno 274</t>
  </si>
  <si>
    <t>Polythene sheet 125 micron</t>
  </si>
  <si>
    <t>sqm</t>
  </si>
  <si>
    <t>TBSC-Q.I-03</t>
  </si>
  <si>
    <t>Sno 143</t>
  </si>
  <si>
    <t xml:space="preserve">Plasticizer 0.5 per cent by weight of cement Conforming to IS:  91031999  </t>
  </si>
  <si>
    <t>litre</t>
  </si>
  <si>
    <t>PNo 10</t>
  </si>
  <si>
    <t>Sno 15</t>
  </si>
  <si>
    <t>Curing compound (if used) @ 0.33 litre per sqm</t>
  </si>
  <si>
    <t>Sno 74</t>
  </si>
  <si>
    <r>
      <t xml:space="preserve">Joint filler board 20 mm thick as per IS:1838
(Tar felt joint filler board 20 mm thick)
</t>
    </r>
    <r>
      <rPr>
        <sz val="10"/>
        <color indexed="10"/>
        <rFont val="Trebuchet MS"/>
        <family val="2"/>
      </rPr>
      <t xml:space="preserve"> ( 29Nos  *3.75*.17/3 =6.16 ) for 1/3 depth only</t>
    </r>
  </si>
  <si>
    <t xml:space="preserve">Water for curing </t>
  </si>
  <si>
    <t>kl</t>
  </si>
  <si>
    <t>(C )</t>
  </si>
  <si>
    <t>Total ( a + b + c )</t>
  </si>
  <si>
    <t>(d)</t>
  </si>
  <si>
    <t>Form work @ 3% on (a+b+c)</t>
  </si>
  <si>
    <t>Cost for 75 cum = a+b+c+d</t>
  </si>
  <si>
    <t>Rate per Cum = (a+b+c+d+e)/75</t>
  </si>
  <si>
    <t xml:space="preserve"> Overheads &amp; Contractors Profit</t>
  </si>
  <si>
    <t xml:space="preserve">Rate per cum    </t>
  </si>
  <si>
    <t>Manufactured sand as per IS:383 and conforming to clause 1500.2.4.2. @ 0.45 cum of concrete</t>
  </si>
  <si>
    <t>SEIGNIORAGE CHARGES</t>
  </si>
  <si>
    <t>Seigniorage charges</t>
  </si>
  <si>
    <t>Permit Fee</t>
  </si>
  <si>
    <t>Amt</t>
  </si>
  <si>
    <t>Net Amount</t>
  </si>
  <si>
    <t>200 mm dia</t>
  </si>
  <si>
    <t>450 mm dia</t>
  </si>
  <si>
    <t xml:space="preserve">Constructon  of  0.75 M   Circular Sewer Man hole of 0.75 mts x 0.55 m of 0.75 M depths with 2nd Class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 </t>
  </si>
  <si>
    <t xml:space="preserve">2nd Class Brick Masonory in cm (1: 6) )portion using 2nd class bricks for  PIx0.98x0.23x0.30= 0.213 Dedcut Pipe Portion PI/4*0.23*0.23*0.23*2 =0.019 i.e 0.213-0.019=0.19
</t>
  </si>
  <si>
    <t>2nd Class  Brick Masonory in cm (1: 6) )portion using 2nd class bricks for Carbelling Portion PI*(0.98+0.78)/2*0.23*0.45=0.286</t>
  </si>
  <si>
    <t>2nd Class Brick Masonory in cm (1: 6) )portion using 2nd class for PI..98*.23*.10=0.071</t>
  </si>
  <si>
    <t>Constructon  of  0.90 M   Circular Sewer Man hole of 0.90 mts x 0.55 m of 1.0 M depths with 2nd Class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</si>
  <si>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2nd Class Brick Masonory in cm (1: 6) Prop using 2nd class bricks for Uniform Section( PIx1.13x0.23x0.4)-(PI/4*0.232*0.023*2)=0.245</t>
  </si>
  <si>
    <t>2nd Class Brick Masonory work  in cm (1: 6) )Prop using 2nd class bricks for Carbelling Portion Pix(1.13+0.78)/2x0.23x0.70=0.483</t>
  </si>
  <si>
    <t xml:space="preserve"> Additional manhole 0.10 M depth constructon  of 0.90 circular sewer man hole of 0.90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</si>
  <si>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Constructon  of  1.20 M   Circular Sewer Man hole of 1.20 mts x 0.55 m of 1.65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</si>
  <si>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2nd Class Brick Masonory in cm (1: 6) Prop using 2nd class bricks for Uniform Section PIx1.13x0.23x0.30=0.245</t>
  </si>
  <si>
    <t xml:space="preserve"> Additional manhole 0.10 M depth constructon  of 1.2 circular sewer man hole of 1.65-2.3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</si>
  <si>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Constructon  of  1.20 M   Circular Sewer Man hole of 1.20 mts x 0.55 m of 1.5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</si>
  <si>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Constructon  of  1.50 M   Circular Sewer Man hole of 1.20 mts x 0.56 m of 2.3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</si>
  <si>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Constructon  of  1.50 M   Circular Sewer Man hole of 1.20 mts x 0.56 m of 3.0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</si>
  <si>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Constructon  of  1.50 M   Circular Sewer Man hole of 1.20 mts x 0.55 m of 3.0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</si>
  <si>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 xml:space="preserve"> Additional manhole 0.10 M depth constructon  of 1.5 circular sewer man hole of 2.3 mts - 3.0mts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</si>
  <si>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2nd ClassBrick Masonory work  in cm (1: 6) )portion for Uniform Section PIx1.85x0.23x0.10 =0.134</t>
  </si>
  <si>
    <t xml:space="preserve"> Additional manhole 0.10 M depth constructon  of 1.5 circular sewer man hole of 3.0 mts - 5.0mts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t>
  </si>
  <si>
    <t>Add 30% DMFon Seigniorage charges</t>
  </si>
  <si>
    <t>Add 2% SMET on Seigniorage charges</t>
  </si>
  <si>
    <t>Grant:-CRR 2024-25</t>
  </si>
  <si>
    <t xml:space="preserve">100.00 Lakhs </t>
  </si>
  <si>
    <t xml:space="preserve">The estimate is prepared with SSR 2024-25 and submitted for according technical  sanction. </t>
  </si>
  <si>
    <t>Executive Engineer</t>
  </si>
  <si>
    <t>PR Div Ibrahimpatnam</t>
  </si>
  <si>
    <t xml:space="preserve">Taking of core samples in concrete pavement &amp; testing for thickness, strength &amp; Density </t>
  </si>
  <si>
    <r>
      <t xml:space="preserve">MANUFACTURE, SUPPLY AND DELIVERY OF R.C.C. SOCKET AND SPIGOT PIPES CONFORMING TO B.I.S. 458/2003 AT EX-FACTORY (RATE PER METER OF EFFECTIVE LENGTH) EXCLUDING TRANSPORTATION, TAXES &amp; DUTIES. Of </t>
    </r>
    <r>
      <rPr>
        <b/>
        <sz val="10"/>
        <rFont val="Times New Roman"/>
        <family val="1"/>
      </rPr>
      <t>Non Pressure pipes</t>
    </r>
  </si>
  <si>
    <r>
      <t>Add difference cost of steel ((51000</t>
    </r>
    <r>
      <rPr>
        <b/>
        <sz val="10"/>
        <rFont val="Times New Roman"/>
        <family val="1"/>
      </rPr>
      <t>-55000</t>
    </r>
    <r>
      <rPr>
        <sz val="10"/>
        <rFont val="Times New Roman"/>
        <family val="1"/>
      </rPr>
      <t>)/1000)*
1.0 %*827</t>
    </r>
  </si>
  <si>
    <t>Branches ( 6 Nos)</t>
  </si>
  <si>
    <r>
      <t xml:space="preserve">                                   The above administratively sanctioned  </t>
    </r>
    <r>
      <rPr>
        <b/>
        <sz val="12"/>
        <rFont val="Times New Roman"/>
        <family val="1"/>
      </rPr>
      <t xml:space="preserve">vide G.O Rt No: 599 Dt: 11-10-2024 under CRR 2024-25 Grant for Rs: 100.00 lakhs. </t>
    </r>
    <r>
      <rPr>
        <sz val="12"/>
        <rFont val="Times New Roman"/>
        <family val="1"/>
      </rPr>
      <t xml:space="preserve">Accordingly the detailed estimate is prepared  for  laying of Under ground  pipe line suitable for the popualtion of Madgul  as per the census 2011 and designed for period of 20 years period </t>
    </r>
  </si>
  <si>
    <t>Name of the Work:</t>
  </si>
  <si>
    <r>
      <rPr>
        <b/>
        <sz val="12"/>
        <rFont val="Times New Roman"/>
        <family val="1"/>
      </rPr>
      <t xml:space="preserve">H.D.-20 with 560mm dia </t>
    </r>
    <r>
      <rPr>
        <sz val="12"/>
        <rFont val="Times New Roman"/>
        <family val="1"/>
      </rPr>
      <t>clear opening</t>
    </r>
  </si>
  <si>
    <t>for 1.0 m Depth  450 Pipe Line</t>
  </si>
  <si>
    <t>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t>
  </si>
  <si>
    <t>101
VP4</t>
  </si>
  <si>
    <t>Hard rock (Blasting prohibited)</t>
  </si>
  <si>
    <t>5% of E/W Qty</t>
  </si>
  <si>
    <t>Take 95% of Total Qty</t>
  </si>
  <si>
    <t>Cc road</t>
  </si>
  <si>
    <t xml:space="preserve">DETAILED  DATA   FOR  MAN   HOLES   WITH     2nd Class    BRICKS   </t>
  </si>
  <si>
    <t>Inspection report of the Regional Officer, PRED, Region: Rangareddy</t>
  </si>
  <si>
    <t xml:space="preserve">Date of Inspection </t>
  </si>
  <si>
    <t>:</t>
  </si>
  <si>
    <t>Name of the Officers present</t>
  </si>
  <si>
    <t>Name of the Work</t>
  </si>
  <si>
    <t>Estimated Cost</t>
  </si>
  <si>
    <t>Administrative Sanction</t>
  </si>
  <si>
    <t>Grant</t>
  </si>
  <si>
    <t>Provide GSB Gr-VI - 150 mm thick as per IRC:SP:62-2014 in CC Pavement.</t>
  </si>
  <si>
    <t>Regional Officer</t>
  </si>
  <si>
    <t>PRED, Region: Rangareddy</t>
  </si>
  <si>
    <t>Present: Sri P.Srinivas Reddy, B.E.</t>
  </si>
  <si>
    <t xml:space="preserve">CRR 2024-25 Grant </t>
  </si>
  <si>
    <t>G.O Rt No: 599 Dt: 11-10-2024</t>
  </si>
  <si>
    <t>It is proposed to provide NP-3, 450 mm dia RCC pipeline for collection of all the drainage from Yadava Colony and Waddera Colony towards Vagu located next to Pedda Madgul.</t>
  </si>
  <si>
    <t xml:space="preserve">              The Executive Engineer, PR- Division, Ibrahimpatnam is instructed to prepare the Detailed Estimate with above provisions</t>
  </si>
  <si>
    <t>Sri B.Srinivas Reddy, E.E, PR Div Ibrahimpatnam.</t>
  </si>
  <si>
    <t>Sri. V.Srinivas Reddy D.E.E PR SD Amangal</t>
  </si>
  <si>
    <t>Sri J Abhishek A.E PR SD Amangal</t>
  </si>
  <si>
    <t>KEY  MAP</t>
  </si>
  <si>
    <t>MADGUL</t>
  </si>
  <si>
    <t>Towards Amangal</t>
  </si>
  <si>
    <t>Towards Brahmanpally</t>
  </si>
  <si>
    <t>Towards Kolkulapally</t>
  </si>
  <si>
    <t>Vagu Portion</t>
  </si>
  <si>
    <t>Pedda Madgul</t>
  </si>
  <si>
    <t>Yadava Colony</t>
  </si>
  <si>
    <t>Waddera Colony</t>
  </si>
  <si>
    <t>400 m</t>
  </si>
  <si>
    <t>LONGITUDINAL SECTION</t>
  </si>
  <si>
    <t>Ground Level</t>
  </si>
  <si>
    <t>Manhole 1</t>
  </si>
  <si>
    <t>Manhole 2</t>
  </si>
  <si>
    <r>
      <t xml:space="preserve">Manhole </t>
    </r>
    <r>
      <rPr>
        <b/>
        <sz val="10"/>
        <rFont val="Arial"/>
        <family val="2"/>
      </rPr>
      <t>Y</t>
    </r>
  </si>
  <si>
    <r>
      <t xml:space="preserve">Manhole </t>
    </r>
    <r>
      <rPr>
        <b/>
        <sz val="10"/>
        <rFont val="Arial"/>
        <family val="2"/>
      </rPr>
      <t>Z</t>
    </r>
  </si>
  <si>
    <t>Pipe Line</t>
  </si>
  <si>
    <t xml:space="preserve">Name of the Work: </t>
  </si>
  <si>
    <t>Erukali Balakishti</t>
  </si>
  <si>
    <t>Mala Kanakaiah</t>
  </si>
  <si>
    <t>Wadde kanakaiah</t>
  </si>
  <si>
    <t>A Pullaiah</t>
  </si>
  <si>
    <t>D Pullaiah</t>
  </si>
  <si>
    <t>Dubbak Mallaiah</t>
  </si>
  <si>
    <t>CH Anji</t>
  </si>
  <si>
    <t>400 m , 450mm dia</t>
  </si>
  <si>
    <t>GOVERNMENT  OF  TELANGANA</t>
  </si>
  <si>
    <t>Name of Grant</t>
  </si>
  <si>
    <t>Name of Work:-</t>
  </si>
  <si>
    <t>Amount Sanctioned</t>
  </si>
  <si>
    <t>Sanctioned Length</t>
  </si>
  <si>
    <t>Km</t>
  </si>
  <si>
    <t>(P.R) Circle</t>
  </si>
  <si>
    <t>::</t>
  </si>
  <si>
    <t>District</t>
  </si>
  <si>
    <t>(P.R) Division</t>
  </si>
  <si>
    <t>(P.R) Sub-Division</t>
  </si>
  <si>
    <t>Mandal</t>
  </si>
  <si>
    <t xml:space="preserve">PANCHAYATRAJ ENGINEERING DEPARTMENT
 DEPARTMENT
</t>
  </si>
  <si>
    <t>CRR-2024-25</t>
  </si>
  <si>
    <t>RANGA REDDY</t>
  </si>
  <si>
    <t>IBRAHIMPATNAM</t>
  </si>
  <si>
    <t>AMANGAL</t>
  </si>
  <si>
    <t>Constructon  of  0.90 M   Circular Sewer Man hole is proposed for inspection of drainage lines of 200mm dia and 300 mm dia with required depth as per alignment and site condition.</t>
  </si>
  <si>
    <t>Constructon  of  1.20 M   Circular Sewer Man hole is proposed for inspection of drainage lines of 450 mm dia with required depth as per alignment and site condition.</t>
  </si>
  <si>
    <t>RCC S/S Pipes</t>
  </si>
  <si>
    <t>Balanagar</t>
  </si>
  <si>
    <t>SWR Pipes</t>
  </si>
  <si>
    <t>Hyderabad</t>
  </si>
  <si>
    <t>Certificates</t>
  </si>
  <si>
    <t>Certified that the leads are true and nearer to the site to the best of my Knowledge.</t>
  </si>
  <si>
    <t>Certified that the materials are sufficiently available in the above quarries</t>
  </si>
  <si>
    <t>Certified that the HBG metal obtained by Blasting.</t>
  </si>
  <si>
    <t>Water cost Allowed ( Y/N)</t>
  </si>
  <si>
    <t>N</t>
  </si>
  <si>
    <t xml:space="preserve">Area Allowence allowed </t>
  </si>
  <si>
    <r>
      <t xml:space="preserve">Construction of  dowel jointed un-reinforced, expansion and construction joint plain cement concrete pavement, thickness as per design, over a prepared sub base, with 43 grade cement or any other type as per Clause 1501.2.2 M30 (Grade), coarse and fine aggregates </t>
    </r>
    <r>
      <rPr>
        <b/>
        <sz val="11"/>
        <rFont val="Calibri"/>
        <family val="2"/>
        <scheme val="minor"/>
      </rPr>
      <t>(Natural sand 50%+Manufactured sand(Rock Sand)50% )</t>
    </r>
    <r>
      <rPr>
        <sz val="11"/>
        <rFont val="Calibri"/>
        <family val="2"/>
        <scheme val="minor"/>
      </rPr>
      <t xml:space="preserve">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t>
    </r>
  </si>
  <si>
    <t>nos.</t>
  </si>
  <si>
    <t>Black smith for cutting of dowel bars including removal of burrs, fabrications &amp; fixing of dowel bars</t>
  </si>
  <si>
    <t>Add 10% MAA / AA</t>
  </si>
  <si>
    <t>Needle vibrator</t>
  </si>
  <si>
    <t>Screed vibrator</t>
  </si>
  <si>
    <t>Meter</t>
  </si>
  <si>
    <t>Groove cutting</t>
  </si>
  <si>
    <t>(C)</t>
  </si>
  <si>
    <t>20mm</t>
  </si>
  <si>
    <t>10mm</t>
  </si>
  <si>
    <t>50% Natural Sand as per IS:383 and conforming to clause 1500.2.4.2.</t>
  </si>
  <si>
    <t>50% Manufactured sand(Rock Sand)</t>
  </si>
  <si>
    <t>Cement @ 350 Kg/cum of concrete</t>
  </si>
  <si>
    <t>Mild steel dowel bar 25mm dia of grade S 240.500 mm long 20 Nos. at culvert/bridge slab and at construction joiont including 5 percent wastage</t>
  </si>
  <si>
    <t>(4x20x0.500) + 5 per cent wastage = 42m @3.854 Kg per m = 161.91 kg.</t>
  </si>
  <si>
    <t>Bitumen primer @ 200ml. Per joint for 23 joints</t>
  </si>
  <si>
    <t>Litre</t>
  </si>
  <si>
    <t>Bitumenous sealant 800 ml. Per joint for 23 joints</t>
  </si>
  <si>
    <t>Jute rope 12mm dia including 5 per cent wastage</t>
  </si>
  <si>
    <t>Debonding strips 3.75m. (length) x 10mm (width) x 5 mm (thick) cut-out of rubber fillter board of similar material including 5 per cent wastage</t>
  </si>
  <si>
    <t>Polythene sheathing, covering 2/3rd dowel bars (20x23) and tight fit including 5 per cent wastage</t>
  </si>
  <si>
    <t>Plasticizer 0.4 per cent by weight of cement</t>
  </si>
  <si>
    <t>Water for curing</t>
  </si>
  <si>
    <t>hr</t>
  </si>
  <si>
    <t>Joint filler board 20mm thick as per IS:1838</t>
  </si>
  <si>
    <t>(4x3.75x0.200 = 3 sqm)</t>
  </si>
  <si>
    <t>(D)</t>
  </si>
  <si>
    <t>Over head charges &amp; CP</t>
  </si>
  <si>
    <t>(E)</t>
  </si>
  <si>
    <t>Contractor profit</t>
  </si>
  <si>
    <t>Total of (A) + (B)+( C)+(D)+(E)</t>
  </si>
  <si>
    <t>(F)</t>
  </si>
  <si>
    <t>Cost per 75 Cum</t>
  </si>
  <si>
    <t>Rate to be adopted</t>
  </si>
  <si>
    <t>xx</t>
  </si>
  <si>
    <t>1 Cum</t>
  </si>
  <si>
    <t>Schedule A (Part -I)</t>
  </si>
  <si>
    <t>Schedule of Rates and Approximate Quantities</t>
  </si>
  <si>
    <t>Name of the work : -</t>
  </si>
  <si>
    <t>Estt.Cost Rs..</t>
  </si>
  <si>
    <t>Lakhs</t>
  </si>
  <si>
    <t>A)</t>
  </si>
  <si>
    <t>The quanties here given are those upon which the lumpsum tender cost of work is based but they are subject to alteration, omissions, deductions, or additions as provided for in the conditions of this contract and do not necessarily show the actual quantities of work to be done.  The total contract value and unit rates noted below are those governing payment of extras or deductions for omissions according to the conditions to the contract as set forth in the preliminary specifications of the AP Standard Specifications and other conditions of specification of this contract.</t>
  </si>
  <si>
    <t>B)</t>
  </si>
  <si>
    <t>It is to be expressly understood that the measured work is to be taken net (not withstanding any custom or practice to the contrary) according to the actual quantities when in place and finished according to the drawings or as may be ordered from time to time by the Executive Engineer and the cost calculated by measurmeent or weight, at their respective rates wihtout any additional charge for any necessary or contingent works connected works connected therewith.  The total contract value is for works in situ and complete in every respect.</t>
  </si>
  <si>
    <t>C)</t>
  </si>
  <si>
    <t>Additions and alterations in the Schedule of quantities will disqualify the tender</t>
  </si>
  <si>
    <t>D)</t>
  </si>
  <si>
    <t>In case of discrepancies between the written description of the item in the Schedule 'A" and the detailed description in the specification of the same item, the latter shall be adopted.</t>
  </si>
  <si>
    <t>Sl.No</t>
  </si>
  <si>
    <t xml:space="preserve">Probable quantity both in figures </t>
  </si>
  <si>
    <t>Description of works</t>
  </si>
  <si>
    <t>MoRD/ MoRT&amp;H specification</t>
  </si>
  <si>
    <t>Unit of Measurement in figures and words</t>
  </si>
  <si>
    <t>Rate in figures</t>
  </si>
  <si>
    <t>1500, 1600 1700, 2702 MoRTH</t>
  </si>
  <si>
    <t>"APPROVED"</t>
  </si>
  <si>
    <t>Engineer - in - Chief</t>
  </si>
  <si>
    <t>Panchayat Raj, Hyderabad</t>
  </si>
  <si>
    <t>rmt</t>
  </si>
  <si>
    <t>SS Pipes</t>
  </si>
  <si>
    <t>PH Data</t>
  </si>
  <si>
    <t>SoR pg 507</t>
  </si>
  <si>
    <t>Sand +Robo sand (50%+50%) for Concrete</t>
  </si>
  <si>
    <t>check as per model estimate in datas how it is reflected</t>
  </si>
  <si>
    <t>200mm dia SW pipe 60cm long</t>
  </si>
  <si>
    <t>It is proposed to provide CC Pavement with M30 grade concrete with 0.17m thickness along the colony roads over existing GSB and WMM. or damaged CC Road.</t>
  </si>
  <si>
    <t>It is proposed to provide 200 mm dia SWR-SP 1 pipes for Branch lines and 300 mm dia SWR- SP1 pipes for Main Line in the proposed Colony</t>
  </si>
</sst>
</file>

<file path=xl/styles.xml><?xml version="1.0" encoding="utf-8"?>
<styleSheet xmlns="http://schemas.openxmlformats.org/spreadsheetml/2006/main">
  <numFmts count="18">
    <numFmt numFmtId="43" formatCode="_ * #,##0.00_ ;_ * \-#,##0.00_ ;_ * &quot;-&quot;??_ ;_ @_ "/>
    <numFmt numFmtId="164" formatCode="_(* #,##0.00_);_(* \(#,##0.00\);_(* &quot;-&quot;??_);_(@_)"/>
    <numFmt numFmtId="165" formatCode="_-* #,##0_-;\-* #,##0_-;_-* &quot;-&quot;_-;_-@_-"/>
    <numFmt numFmtId="166" formatCode="0.0"/>
    <numFmt numFmtId="167" formatCode="0.000"/>
    <numFmt numFmtId="168" formatCode="\(0\)"/>
    <numFmt numFmtId="169" formatCode="0.00;[Red]0.00"/>
    <numFmt numFmtId="170" formatCode="0;[Red]0"/>
    <numFmt numFmtId="171" formatCode="0.000;[Red]0.000"/>
    <numFmt numFmtId="172" formatCode="mm/dd/yy"/>
    <numFmt numFmtId="173" formatCode="&quot;$&quot;#,##0.000"/>
    <numFmt numFmtId="174" formatCode="0.000000"/>
    <numFmt numFmtId="175" formatCode="0.00000"/>
    <numFmt numFmtId="176" formatCode="0.0000"/>
    <numFmt numFmtId="177" formatCode="0.000%"/>
    <numFmt numFmtId="178" formatCode="0.0000%"/>
    <numFmt numFmtId="179" formatCode="0.00_);\(0.00\)"/>
    <numFmt numFmtId="180" formatCode="0.0;[Red]0.0"/>
  </numFmts>
  <fonts count="18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6"/>
      <name val="Arial"/>
      <family val="2"/>
    </font>
    <font>
      <sz val="8"/>
      <name val="Arial"/>
      <family val="2"/>
    </font>
    <font>
      <b/>
      <sz val="10"/>
      <name val="Arial"/>
      <family val="2"/>
    </font>
    <font>
      <sz val="10"/>
      <color indexed="8"/>
      <name val="Arial"/>
      <family val="2"/>
    </font>
    <font>
      <sz val="8"/>
      <name val="Arial"/>
      <family val="2"/>
    </font>
    <font>
      <b/>
      <sz val="11"/>
      <color indexed="8"/>
      <name val="Calibri"/>
      <family val="2"/>
    </font>
    <font>
      <sz val="11"/>
      <color indexed="8"/>
      <name val="Calibri"/>
      <family val="2"/>
    </font>
    <font>
      <sz val="10"/>
      <name val="Times New Roman"/>
      <family val="1"/>
    </font>
    <font>
      <b/>
      <sz val="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erif"/>
      <family val="1"/>
    </font>
    <font>
      <sz val="10"/>
      <color indexed="16"/>
      <name val="MS Serif"/>
      <family val="1"/>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0"/>
      <name val="Times New Roman"/>
      <family val="1"/>
    </font>
    <font>
      <sz val="11"/>
      <color indexed="60"/>
      <name val="Calibri"/>
      <family val="2"/>
    </font>
    <font>
      <sz val="7"/>
      <name val="Small Fonts"/>
      <family val="2"/>
    </font>
    <font>
      <b/>
      <sz val="11"/>
      <color indexed="63"/>
      <name val="Calibri"/>
      <family val="2"/>
    </font>
    <font>
      <sz val="8"/>
      <name val="Helv"/>
    </font>
    <font>
      <b/>
      <sz val="12"/>
      <name val="MS Sans Serif"/>
      <family val="2"/>
    </font>
    <font>
      <sz val="12"/>
      <name val="MS Sans Serif"/>
      <family val="2"/>
    </font>
    <font>
      <b/>
      <sz val="8"/>
      <color indexed="8"/>
      <name val="Helv"/>
    </font>
    <font>
      <b/>
      <sz val="18"/>
      <color indexed="56"/>
      <name val="Cambria"/>
      <family val="2"/>
    </font>
    <font>
      <sz val="11"/>
      <color indexed="10"/>
      <name val="Calibri"/>
      <family val="2"/>
    </font>
    <font>
      <b/>
      <u/>
      <sz val="11"/>
      <name val="Tahoma"/>
      <family val="2"/>
    </font>
    <font>
      <b/>
      <u/>
      <sz val="10"/>
      <name val="Times New Roman"/>
      <family val="1"/>
    </font>
    <font>
      <sz val="11"/>
      <name val="Tahoma"/>
      <family val="2"/>
    </font>
    <font>
      <b/>
      <sz val="14"/>
      <name val="Maiandra GD"/>
      <family val="2"/>
    </font>
    <font>
      <b/>
      <sz val="14"/>
      <name val="Times New Roman"/>
      <family val="1"/>
    </font>
    <font>
      <b/>
      <sz val="12"/>
      <name val="Broadway"/>
      <family val="5"/>
    </font>
    <font>
      <sz val="11"/>
      <name val="Book Antiqua"/>
      <family val="1"/>
    </font>
    <font>
      <b/>
      <sz val="11"/>
      <name val="Book Antiqua"/>
      <family val="1"/>
    </font>
    <font>
      <b/>
      <sz val="12"/>
      <name val="Book Antiqua"/>
      <family val="1"/>
    </font>
    <font>
      <sz val="12"/>
      <name val="Arial"/>
      <family val="2"/>
    </font>
    <font>
      <sz val="12"/>
      <name val="Tahoma"/>
      <family val="2"/>
    </font>
    <font>
      <sz val="10"/>
      <name val="Trebuchet MS"/>
      <family val="2"/>
    </font>
    <font>
      <b/>
      <sz val="10"/>
      <name val="Trebuchet MS"/>
      <family val="2"/>
    </font>
    <font>
      <sz val="9"/>
      <name val="Trebuchet MS"/>
      <family val="2"/>
    </font>
    <font>
      <b/>
      <sz val="11"/>
      <name val="Trebuchet MS"/>
      <family val="2"/>
    </font>
    <font>
      <b/>
      <sz val="12"/>
      <name val="Trebuchet MS"/>
      <family val="2"/>
    </font>
    <font>
      <b/>
      <u/>
      <sz val="16"/>
      <name val="Trebuchet MS"/>
      <family val="2"/>
    </font>
    <font>
      <sz val="11"/>
      <name val="Trebuchet MS"/>
      <family val="2"/>
    </font>
    <font>
      <sz val="10"/>
      <name val="Arial"/>
      <family val="2"/>
    </font>
    <font>
      <sz val="10"/>
      <name val="Helv"/>
      <charset val="204"/>
    </font>
    <font>
      <u/>
      <sz val="12"/>
      <name val="Trebuchet MS"/>
      <family val="2"/>
    </font>
    <font>
      <b/>
      <u/>
      <sz val="12"/>
      <name val="Trebuchet MS"/>
      <family val="2"/>
    </font>
    <font>
      <u/>
      <sz val="10"/>
      <name val="Trebuchet MS"/>
      <family val="2"/>
    </font>
    <font>
      <b/>
      <u/>
      <sz val="11"/>
      <name val="Trebuchet MS"/>
      <family val="2"/>
    </font>
    <font>
      <sz val="12"/>
      <name val="Trebuchet MS"/>
      <family val="2"/>
    </font>
    <font>
      <b/>
      <sz val="15"/>
      <name val="Trebuchet MS"/>
      <family val="2"/>
    </font>
    <font>
      <b/>
      <sz val="8"/>
      <name val="Arial"/>
      <family val="2"/>
    </font>
    <font>
      <b/>
      <sz val="9"/>
      <name val="Arial"/>
      <family val="2"/>
    </font>
    <font>
      <sz val="9"/>
      <name val="Arial"/>
      <family val="2"/>
    </font>
    <font>
      <b/>
      <sz val="8"/>
      <color indexed="10"/>
      <name val="Arial"/>
      <family val="2"/>
    </font>
    <font>
      <b/>
      <sz val="9"/>
      <color indexed="10"/>
      <name val="Arial"/>
      <family val="2"/>
    </font>
    <font>
      <sz val="8"/>
      <color indexed="10"/>
      <name val="Arial"/>
      <family val="2"/>
    </font>
    <font>
      <sz val="9"/>
      <color indexed="10"/>
      <name val="Arial"/>
      <family val="2"/>
    </font>
    <font>
      <b/>
      <sz val="8"/>
      <color indexed="81"/>
      <name val="Tahoma"/>
      <family val="2"/>
    </font>
    <font>
      <sz val="8"/>
      <color indexed="81"/>
      <name val="Tahoma"/>
      <family val="2"/>
    </font>
    <font>
      <sz val="11"/>
      <name val="Times New Roman"/>
      <family val="1"/>
    </font>
    <font>
      <b/>
      <sz val="13"/>
      <name val="Arial Black"/>
      <family val="2"/>
    </font>
    <font>
      <sz val="10"/>
      <color indexed="8"/>
      <name val="Trebuchet MS"/>
      <family val="2"/>
    </font>
    <font>
      <b/>
      <sz val="10"/>
      <name val="Cambria"/>
      <family val="1"/>
    </font>
    <font>
      <sz val="10"/>
      <name val="Cambria"/>
      <family val="1"/>
    </font>
    <font>
      <sz val="10"/>
      <color indexed="10"/>
      <name val="Cambria"/>
      <family val="1"/>
    </font>
    <font>
      <b/>
      <sz val="10"/>
      <color indexed="10"/>
      <name val="Cambria"/>
      <family val="1"/>
    </font>
    <font>
      <vertAlign val="superscript"/>
      <sz val="10"/>
      <name val="Cambria"/>
      <family val="1"/>
    </font>
    <font>
      <b/>
      <sz val="10"/>
      <color indexed="48"/>
      <name val="Cambria"/>
      <family val="1"/>
    </font>
    <font>
      <sz val="10"/>
      <color indexed="48"/>
      <name val="Cambria"/>
      <family val="1"/>
    </font>
    <font>
      <sz val="10"/>
      <name val="Times New Roman"/>
      <family val="1"/>
    </font>
    <font>
      <b/>
      <sz val="9"/>
      <name val="Times New Roman"/>
      <family val="1"/>
    </font>
    <font>
      <b/>
      <sz val="13"/>
      <name val="Cambria"/>
      <family val="1"/>
    </font>
    <font>
      <u/>
      <sz val="18"/>
      <name val="Trebuchet MS"/>
      <family val="2"/>
    </font>
    <font>
      <b/>
      <sz val="12"/>
      <name val="Cambria"/>
      <family val="1"/>
    </font>
    <font>
      <sz val="9"/>
      <color indexed="81"/>
      <name val="Tahoma"/>
      <family val="2"/>
    </font>
    <font>
      <b/>
      <sz val="9"/>
      <color indexed="81"/>
      <name val="Tahoma"/>
      <family val="2"/>
    </font>
    <font>
      <b/>
      <sz val="7"/>
      <name val="Cambria"/>
      <family val="1"/>
    </font>
    <font>
      <b/>
      <sz val="8"/>
      <name val="Cambria"/>
      <family val="1"/>
    </font>
    <font>
      <sz val="10"/>
      <color indexed="10"/>
      <name val="Arial"/>
      <family val="2"/>
    </font>
    <font>
      <b/>
      <sz val="10"/>
      <color indexed="10"/>
      <name val="Arial"/>
      <family val="2"/>
    </font>
    <font>
      <sz val="10"/>
      <name val="Times New Roman"/>
      <family val="1"/>
      <charset val="204"/>
    </font>
    <font>
      <sz val="14"/>
      <name val="Times New Roman"/>
      <family val="1"/>
    </font>
    <font>
      <b/>
      <sz val="11"/>
      <name val="Arial"/>
      <family val="2"/>
    </font>
    <font>
      <sz val="11"/>
      <name val="Arial"/>
      <family val="2"/>
    </font>
    <font>
      <b/>
      <u/>
      <sz val="14"/>
      <name val="Times New Roman"/>
      <family val="1"/>
    </font>
    <font>
      <sz val="12"/>
      <name val="Times New Roman"/>
      <family val="1"/>
    </font>
    <font>
      <b/>
      <sz val="12"/>
      <name val="Times New Roman"/>
      <family val="1"/>
    </font>
    <font>
      <sz val="8"/>
      <name val="Trebuchet MS"/>
      <family val="2"/>
    </font>
    <font>
      <sz val="7"/>
      <name val="Trebuchet MS"/>
      <family val="2"/>
    </font>
    <font>
      <b/>
      <sz val="14"/>
      <name val="Arial"/>
      <family val="2"/>
    </font>
    <font>
      <sz val="11"/>
      <color theme="1"/>
      <name val="Calibri"/>
      <family val="2"/>
      <scheme val="minor"/>
    </font>
    <font>
      <sz val="11"/>
      <color theme="1"/>
      <name val="Calibri"/>
      <family val="2"/>
      <charset val="134"/>
      <scheme val="minor"/>
    </font>
    <font>
      <b/>
      <u/>
      <sz val="14"/>
      <color theme="4"/>
      <name val="Trebuchet MS"/>
      <family val="2"/>
    </font>
    <font>
      <b/>
      <sz val="14"/>
      <color theme="4"/>
      <name val="Trebuchet MS"/>
      <family val="2"/>
    </font>
    <font>
      <sz val="14"/>
      <name val="Arial"/>
      <family val="2"/>
    </font>
    <font>
      <u/>
      <sz val="14"/>
      <name val="Times New Roman"/>
      <family val="1"/>
    </font>
    <font>
      <b/>
      <sz val="11"/>
      <color theme="1"/>
      <name val="Times New Roman"/>
      <family val="1"/>
    </font>
    <font>
      <b/>
      <sz val="14"/>
      <color theme="1"/>
      <name val="Times New Roman"/>
      <family val="1"/>
    </font>
    <font>
      <sz val="14"/>
      <color theme="1"/>
      <name val="Times New Roman"/>
      <family val="1"/>
    </font>
    <font>
      <sz val="10"/>
      <name val="Arial"/>
      <family val="2"/>
    </font>
    <font>
      <b/>
      <u/>
      <sz val="16"/>
      <name val="Times New Roman"/>
      <family val="1"/>
    </font>
    <font>
      <u/>
      <sz val="12"/>
      <name val="Times New Roman"/>
      <family val="1"/>
    </font>
    <font>
      <b/>
      <u/>
      <sz val="12"/>
      <name val="Times New Roman"/>
      <family val="1"/>
    </font>
    <font>
      <b/>
      <sz val="11"/>
      <name val="Times New Roman"/>
      <family val="1"/>
    </font>
    <font>
      <sz val="11"/>
      <color indexed="8"/>
      <name val="Times New Roman"/>
      <family val="1"/>
    </font>
    <font>
      <b/>
      <sz val="12"/>
      <color theme="1"/>
      <name val="Times New Roman"/>
      <family val="1"/>
    </font>
    <font>
      <sz val="12"/>
      <color rgb="FFFF0000"/>
      <name val="Times New Roman"/>
      <family val="1"/>
    </font>
    <font>
      <vertAlign val="superscript"/>
      <sz val="12"/>
      <name val="Times New Roman"/>
      <family val="1"/>
    </font>
    <font>
      <b/>
      <sz val="13"/>
      <name val="Times New Roman"/>
      <family val="1"/>
    </font>
    <font>
      <sz val="14"/>
      <color rgb="FFFF0000"/>
      <name val="Times New Roman"/>
      <family val="1"/>
    </font>
    <font>
      <b/>
      <sz val="11"/>
      <color indexed="8"/>
      <name val="Times New Roman"/>
      <family val="1"/>
    </font>
    <font>
      <b/>
      <sz val="11"/>
      <color theme="1"/>
      <name val="Calibri"/>
      <family val="2"/>
      <scheme val="minor"/>
    </font>
    <font>
      <sz val="12"/>
      <color theme="1"/>
      <name val="Times New Roman"/>
      <family val="1"/>
    </font>
    <font>
      <sz val="10"/>
      <color rgb="FFFF0000"/>
      <name val="Times New Roman"/>
      <family val="1"/>
    </font>
    <font>
      <sz val="11"/>
      <color rgb="FFFF0000"/>
      <name val="Calibri"/>
      <family val="2"/>
      <scheme val="minor"/>
    </font>
    <font>
      <sz val="11"/>
      <color rgb="FFFF0000"/>
      <name val="Times New Roman"/>
      <family val="1"/>
    </font>
    <font>
      <b/>
      <sz val="12"/>
      <color rgb="FFFF0000"/>
      <name val="Times New Roman"/>
      <family val="1"/>
    </font>
    <font>
      <b/>
      <sz val="10"/>
      <color rgb="FFFF0000"/>
      <name val="Times New Roman"/>
      <family val="1"/>
    </font>
    <font>
      <sz val="10"/>
      <color rgb="FFFF0000"/>
      <name val="Cambria"/>
      <family val="1"/>
    </font>
    <font>
      <b/>
      <sz val="10"/>
      <color rgb="FFFF0000"/>
      <name val="Cambria"/>
      <family val="1"/>
    </font>
    <font>
      <sz val="10"/>
      <color indexed="10"/>
      <name val="Trebuchet MS"/>
      <family val="2"/>
    </font>
    <font>
      <b/>
      <sz val="10"/>
      <color indexed="8"/>
      <name val="Times New Roman"/>
      <family val="1"/>
    </font>
    <font>
      <sz val="10"/>
      <color indexed="8"/>
      <name val="Times New Roman"/>
      <family val="1"/>
    </font>
    <font>
      <sz val="8"/>
      <name val="Times New Roman"/>
      <family val="1"/>
    </font>
    <font>
      <sz val="9"/>
      <name val="Times New Roman"/>
      <family val="1"/>
    </font>
    <font>
      <sz val="14"/>
      <name val="Times New Roman"/>
    </font>
    <font>
      <sz val="11"/>
      <name val="Times New Roman"/>
    </font>
    <font>
      <b/>
      <sz val="11"/>
      <name val="Times New Roman"/>
    </font>
    <font>
      <sz val="12"/>
      <name val="Times New Roman"/>
    </font>
    <font>
      <b/>
      <sz val="20"/>
      <name val="Times New Roman"/>
      <family val="1"/>
    </font>
    <font>
      <b/>
      <sz val="20"/>
      <name val="Arial"/>
      <family val="2"/>
    </font>
    <font>
      <b/>
      <u/>
      <sz val="10"/>
      <name val="Arial"/>
      <family val="2"/>
    </font>
    <font>
      <sz val="7"/>
      <name val="Arial"/>
      <family val="2"/>
    </font>
    <font>
      <b/>
      <sz val="24"/>
      <name val="Bernard MT Condensed"/>
      <family val="1"/>
    </font>
    <font>
      <b/>
      <sz val="24"/>
      <name val="Arial"/>
      <family val="2"/>
    </font>
    <font>
      <b/>
      <sz val="28"/>
      <color indexed="17"/>
      <name val="Swis721 BlkOul BT"/>
      <family val="5"/>
    </font>
    <font>
      <b/>
      <sz val="28"/>
      <color indexed="17"/>
      <name val="Arial"/>
      <family val="2"/>
    </font>
    <font>
      <sz val="20"/>
      <color indexed="18"/>
      <name val="Arial"/>
      <family val="2"/>
    </font>
    <font>
      <b/>
      <sz val="20"/>
      <color indexed="18"/>
      <name val="Arial"/>
      <family val="2"/>
    </font>
    <font>
      <sz val="10"/>
      <name val="Elephant"/>
      <family val="1"/>
    </font>
    <font>
      <sz val="16"/>
      <name val="Arial"/>
      <family val="2"/>
    </font>
    <font>
      <sz val="16"/>
      <name val="Times"/>
      <family val="1"/>
    </font>
    <font>
      <sz val="18"/>
      <color indexed="18"/>
      <name val="Tahoma"/>
      <family val="2"/>
    </font>
    <font>
      <sz val="18"/>
      <color indexed="18"/>
      <name val="Arial"/>
      <family val="2"/>
    </font>
    <font>
      <sz val="20"/>
      <color indexed="18"/>
      <name val="Bernard MT Condensed"/>
      <family val="1"/>
    </font>
    <font>
      <b/>
      <sz val="20"/>
      <color indexed="18"/>
      <name val="Bernard MT Condensed"/>
      <family val="1"/>
    </font>
    <font>
      <b/>
      <sz val="16"/>
      <name val="Modern"/>
      <family val="3"/>
      <charset val="255"/>
    </font>
    <font>
      <b/>
      <sz val="12"/>
      <name val="Garamond"/>
      <family val="1"/>
    </font>
    <font>
      <sz val="10"/>
      <name val="CityBlueprint"/>
      <charset val="2"/>
    </font>
    <font>
      <sz val="22"/>
      <color indexed="58"/>
      <name val="Arial"/>
      <family val="2"/>
    </font>
    <font>
      <sz val="22"/>
      <color indexed="58"/>
      <name val="Vineta BT"/>
      <family val="5"/>
    </font>
    <font>
      <b/>
      <sz val="18"/>
      <name val="Arial"/>
      <family val="2"/>
    </font>
    <font>
      <b/>
      <sz val="18"/>
      <name val="Engravers MT"/>
      <family val="1"/>
    </font>
    <font>
      <sz val="14"/>
      <color indexed="18"/>
      <name val="Arial"/>
      <family val="2"/>
    </font>
    <font>
      <b/>
      <sz val="12"/>
      <color indexed="18"/>
      <name val="Arial"/>
      <family val="2"/>
    </font>
    <font>
      <sz val="12"/>
      <name val="Calibri"/>
      <family val="2"/>
      <scheme val="minor"/>
    </font>
    <font>
      <b/>
      <i/>
      <u/>
      <sz val="12"/>
      <name val="Calibri"/>
      <family val="2"/>
      <scheme val="minor"/>
    </font>
    <font>
      <b/>
      <sz val="12"/>
      <name val="Calibri"/>
      <family val="2"/>
      <scheme val="minor"/>
    </font>
    <font>
      <b/>
      <sz val="11"/>
      <name val="Calibri"/>
      <family val="2"/>
      <scheme val="minor"/>
    </font>
    <font>
      <sz val="11"/>
      <name val="Calibri"/>
      <family val="2"/>
      <scheme val="minor"/>
    </font>
    <font>
      <b/>
      <i/>
      <sz val="11"/>
      <name val="Calibri"/>
      <family val="2"/>
      <scheme val="minor"/>
    </font>
    <font>
      <b/>
      <u/>
      <sz val="11"/>
      <name val="Calibri"/>
      <family val="2"/>
      <scheme val="minor"/>
    </font>
    <font>
      <b/>
      <sz val="11"/>
      <color indexed="12"/>
      <name val="Calibri"/>
      <family val="2"/>
      <scheme val="minor"/>
    </font>
    <font>
      <b/>
      <sz val="11"/>
      <color rgb="FFFF0000"/>
      <name val="Calibri"/>
      <family val="2"/>
      <scheme val="minor"/>
    </font>
    <font>
      <b/>
      <sz val="11"/>
      <color indexed="10"/>
      <name val="Calibri"/>
      <family val="2"/>
      <scheme val="minor"/>
    </font>
    <font>
      <sz val="10"/>
      <color theme="1"/>
      <name val="Times New Roman"/>
      <family val="1"/>
    </font>
  </fonts>
  <fills count="5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indexed="51"/>
        <bgColor indexed="64"/>
      </patternFill>
    </fill>
    <fill>
      <patternFill patternType="solid">
        <fgColor indexed="43"/>
        <bgColor indexed="64"/>
      </patternFill>
    </fill>
    <fill>
      <patternFill patternType="solid">
        <fgColor indexed="15"/>
        <bgColor indexed="64"/>
      </patternFill>
    </fill>
    <fill>
      <patternFill patternType="solid">
        <fgColor indexed="14"/>
        <bgColor indexed="64"/>
      </patternFill>
    </fill>
    <fill>
      <patternFill patternType="solid">
        <fgColor indexed="10"/>
        <bgColor indexed="64"/>
      </patternFill>
    </fill>
    <fill>
      <patternFill patternType="solid">
        <fgColor indexed="42"/>
        <bgColor indexed="64"/>
      </patternFill>
    </fill>
    <fill>
      <patternFill patternType="solid">
        <fgColor indexed="46"/>
        <bgColor indexed="64"/>
      </patternFill>
    </fill>
    <fill>
      <patternFill patternType="solid">
        <fgColor indexed="41"/>
        <bgColor indexed="64"/>
      </patternFill>
    </fill>
    <fill>
      <patternFill patternType="solid">
        <fgColor indexed="47"/>
        <bgColor indexed="64"/>
      </patternFill>
    </fill>
    <fill>
      <patternFill patternType="solid">
        <fgColor indexed="44"/>
        <bgColor indexed="64"/>
      </patternFill>
    </fill>
    <fill>
      <patternFill patternType="solid">
        <fgColor indexed="13"/>
        <bgColor indexed="64"/>
      </patternFill>
    </fill>
    <fill>
      <patternFill patternType="solid">
        <fgColor indexed="9"/>
        <bgColor indexed="64"/>
      </patternFill>
    </fill>
    <fill>
      <patternFill patternType="solid">
        <fgColor indexed="45"/>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9" tint="0.39997558519241921"/>
        <bgColor indexed="64"/>
      </patternFill>
    </fill>
    <fill>
      <patternFill patternType="solid">
        <fgColor rgb="FFFFFFCC"/>
        <bgColor indexed="64"/>
      </patternFill>
    </fill>
    <fill>
      <patternFill patternType="solid">
        <fgColor rgb="FF00B05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1"/>
        <bgColor indexed="64"/>
      </patternFill>
    </fill>
    <fill>
      <patternFill patternType="solid">
        <fgColor rgb="FFCCECFF"/>
        <bgColor indexed="64"/>
      </patternFill>
    </fill>
    <fill>
      <patternFill patternType="solid">
        <fgColor theme="5" tint="0.39991454817346722"/>
        <bgColor indexed="64"/>
      </patternFill>
    </fill>
    <fill>
      <patternFill patternType="solid">
        <fgColor theme="0" tint="-0.34998626667073579"/>
        <bgColor indexed="64"/>
      </patternFill>
    </fill>
    <fill>
      <patternFill patternType="solid">
        <fgColor rgb="FFFFC000"/>
        <bgColor indexed="64"/>
      </patternFill>
    </fill>
  </fills>
  <borders count="5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hair">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auto="1"/>
      </left>
      <right/>
      <top style="thin">
        <color auto="1"/>
      </top>
      <bottom style="medium">
        <color auto="1"/>
      </bottom>
      <diagonal/>
    </border>
    <border>
      <left/>
      <right/>
      <top style="thin">
        <color auto="1"/>
      </top>
      <bottom style="medium">
        <color auto="1"/>
      </bottom>
      <diagonal/>
    </border>
  </borders>
  <cellStyleXfs count="120">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5" borderId="0" applyNumberFormat="0" applyBorder="0" applyAlignment="0" applyProtection="0"/>
    <xf numFmtId="0" fontId="14" fillId="8" borderId="0" applyNumberFormat="0" applyBorder="0" applyAlignment="0" applyProtection="0"/>
    <xf numFmtId="0" fontId="14"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9" borderId="0" applyNumberFormat="0" applyBorder="0" applyAlignment="0" applyProtection="0"/>
    <xf numFmtId="0" fontId="18" fillId="3" borderId="0" applyNumberFormat="0" applyBorder="0" applyAlignment="0" applyProtection="0"/>
    <xf numFmtId="0" fontId="11" fillId="0" borderId="0" applyFill="0" applyBorder="0" applyAlignment="0"/>
    <xf numFmtId="0" fontId="19" fillId="20" borderId="1" applyNumberFormat="0" applyAlignment="0" applyProtection="0"/>
    <xf numFmtId="0" fontId="20" fillId="21" borderId="2" applyNumberForma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106" fillId="0" borderId="0" applyFont="0" applyFill="0" applyBorder="0" applyAlignment="0" applyProtection="0"/>
    <xf numFmtId="164" fontId="106" fillId="0" borderId="0" applyFont="0" applyFill="0" applyBorder="0" applyAlignment="0" applyProtection="0"/>
    <xf numFmtId="164" fontId="14" fillId="0" borderId="0" applyFont="0" applyFill="0" applyBorder="0" applyAlignment="0" applyProtection="0"/>
    <xf numFmtId="0" fontId="21" fillId="0" borderId="0" applyNumberFormat="0" applyAlignment="0">
      <alignment horizontal="left"/>
    </xf>
    <xf numFmtId="0" fontId="22" fillId="0" borderId="0" applyNumberFormat="0" applyAlignment="0">
      <alignment horizontal="left"/>
    </xf>
    <xf numFmtId="0" fontId="23" fillId="0" borderId="0" applyNumberFormat="0" applyFill="0" applyBorder="0" applyAlignment="0" applyProtection="0"/>
    <xf numFmtId="2" fontId="7" fillId="0" borderId="0" applyFont="0" applyFill="0" applyBorder="0" applyAlignment="0" applyProtection="0"/>
    <xf numFmtId="0" fontId="24" fillId="4" borderId="0" applyNumberFormat="0" applyBorder="0" applyAlignment="0" applyProtection="0"/>
    <xf numFmtId="38" fontId="12" fillId="22" borderId="0" applyNumberFormat="0" applyBorder="0" applyAlignment="0" applyProtection="0"/>
    <xf numFmtId="0" fontId="16" fillId="0" borderId="3" applyNumberFormat="0" applyAlignment="0" applyProtection="0">
      <alignment horizontal="left" vertical="center"/>
    </xf>
    <xf numFmtId="0" fontId="16" fillId="0" borderId="4">
      <alignment horizontal="left" vertical="center"/>
    </xf>
    <xf numFmtId="0" fontId="25" fillId="0" borderId="5" applyNumberFormat="0" applyFill="0" applyAlignment="0" applyProtection="0"/>
    <xf numFmtId="0" fontId="26" fillId="0" borderId="6" applyNumberFormat="0" applyFill="0" applyAlignment="0" applyProtection="0"/>
    <xf numFmtId="0" fontId="27" fillId="0" borderId="7" applyNumberFormat="0" applyFill="0" applyAlignment="0" applyProtection="0"/>
    <xf numFmtId="0" fontId="27" fillId="0" borderId="0" applyNumberFormat="0" applyFill="0" applyBorder="0" applyAlignment="0" applyProtection="0"/>
    <xf numFmtId="0" fontId="28" fillId="7" borderId="1" applyNumberFormat="0" applyAlignment="0" applyProtection="0"/>
    <xf numFmtId="10" fontId="12" fillId="23" borderId="8" applyNumberFormat="0" applyBorder="0" applyAlignment="0" applyProtection="0"/>
    <xf numFmtId="0" fontId="29" fillId="0" borderId="9" applyNumberFormat="0" applyFill="0" applyAlignment="0" applyProtection="0"/>
    <xf numFmtId="0" fontId="8" fillId="0" borderId="0" applyProtection="0">
      <alignment horizontal="center" vertical="center"/>
    </xf>
    <xf numFmtId="166" fontId="30" fillId="0" borderId="10">
      <alignment horizontal="right"/>
    </xf>
    <xf numFmtId="0" fontId="31" fillId="24" borderId="0" applyNumberFormat="0" applyBorder="0" applyAlignment="0" applyProtection="0"/>
    <xf numFmtId="37" fontId="32" fillId="0" borderId="0"/>
    <xf numFmtId="0" fontId="7" fillId="0" borderId="0"/>
    <xf numFmtId="0" fontId="106" fillId="0" borderId="0"/>
    <xf numFmtId="0" fontId="106" fillId="0" borderId="0"/>
    <xf numFmtId="0" fontId="107" fillId="0" borderId="0">
      <alignment vertical="center"/>
    </xf>
    <xf numFmtId="0" fontId="7" fillId="0" borderId="0"/>
    <xf numFmtId="0" fontId="7" fillId="0" borderId="0"/>
    <xf numFmtId="0" fontId="7" fillId="0" borderId="0"/>
    <xf numFmtId="0" fontId="7" fillId="0" borderId="0"/>
    <xf numFmtId="0" fontId="106" fillId="0" borderId="0"/>
    <xf numFmtId="0" fontId="7" fillId="0" borderId="0"/>
    <xf numFmtId="0" fontId="106" fillId="0" borderId="0"/>
    <xf numFmtId="0" fontId="106" fillId="0" borderId="0"/>
    <xf numFmtId="0" fontId="106" fillId="0" borderId="0"/>
    <xf numFmtId="0" fontId="58" fillId="0" borderId="0"/>
    <xf numFmtId="0" fontId="7" fillId="0" borderId="0"/>
    <xf numFmtId="0" fontId="7" fillId="0" borderId="0"/>
    <xf numFmtId="0" fontId="96" fillId="0" borderId="0" applyNumberFormat="0" applyFill="0" applyBorder="0" applyProtection="0">
      <alignment vertical="top" wrapText="1"/>
    </xf>
    <xf numFmtId="0" fontId="7" fillId="0" borderId="0"/>
    <xf numFmtId="0" fontId="7" fillId="0" borderId="0"/>
    <xf numFmtId="0" fontId="7" fillId="0" borderId="0"/>
    <xf numFmtId="0" fontId="85" fillId="0" borderId="0"/>
    <xf numFmtId="0" fontId="75" fillId="0" borderId="0"/>
    <xf numFmtId="0" fontId="15" fillId="0" borderId="0"/>
    <xf numFmtId="0" fontId="7" fillId="0" borderId="0"/>
    <xf numFmtId="0" fontId="49" fillId="0" borderId="0"/>
    <xf numFmtId="0" fontId="7" fillId="0" borderId="0"/>
    <xf numFmtId="0" fontId="7" fillId="0" borderId="0"/>
    <xf numFmtId="0" fontId="7" fillId="0" borderId="0"/>
    <xf numFmtId="0" fontId="15" fillId="0" borderId="0"/>
    <xf numFmtId="0" fontId="15" fillId="25" borderId="11" applyNumberFormat="0" applyFont="0" applyAlignment="0" applyProtection="0"/>
    <xf numFmtId="0" fontId="33" fillId="20" borderId="12" applyNumberFormat="0" applyAlignment="0" applyProtection="0"/>
    <xf numFmtId="9"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172" fontId="34" fillId="0" borderId="0" applyNumberFormat="0" applyFill="0" applyBorder="0" applyAlignment="0" applyProtection="0">
      <alignment horizontal="left"/>
    </xf>
    <xf numFmtId="0" fontId="35" fillId="0" borderId="8">
      <alignment horizontal="center"/>
    </xf>
    <xf numFmtId="0" fontId="59" fillId="0" borderId="0"/>
    <xf numFmtId="0" fontId="35" fillId="0" borderId="0">
      <alignment horizontal="center" vertical="center"/>
    </xf>
    <xf numFmtId="0" fontId="36" fillId="26" borderId="0" applyNumberFormat="0" applyFill="0">
      <alignment horizontal="left" vertical="center"/>
    </xf>
    <xf numFmtId="40" fontId="37" fillId="0" borderId="0" applyBorder="0">
      <alignment horizontal="right"/>
    </xf>
    <xf numFmtId="165" fontId="7" fillId="0" borderId="0" applyFont="0" applyFill="0" applyBorder="0" applyAlignment="0" applyProtection="0"/>
    <xf numFmtId="0" fontId="7" fillId="0" borderId="0"/>
    <xf numFmtId="0" fontId="38" fillId="0" borderId="0" applyNumberFormat="0" applyFill="0" applyBorder="0" applyAlignment="0" applyProtection="0"/>
    <xf numFmtId="0" fontId="13" fillId="0" borderId="13" applyNumberFormat="0" applyFill="0" applyAlignment="0" applyProtection="0"/>
    <xf numFmtId="0" fontId="39" fillId="0" borderId="0" applyNumberFormat="0" applyFill="0" applyBorder="0" applyAlignment="0" applyProtection="0"/>
    <xf numFmtId="0" fontId="7" fillId="0" borderId="0"/>
    <xf numFmtId="43" fontId="115"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0" fontId="5" fillId="0" borderId="0"/>
    <xf numFmtId="9" fontId="5" fillId="0" borderId="0" applyFont="0" applyFill="0" applyBorder="0" applyAlignment="0" applyProtection="0"/>
    <xf numFmtId="0" fontId="15" fillId="0" borderId="0"/>
    <xf numFmtId="0" fontId="15" fillId="0" borderId="0"/>
    <xf numFmtId="0" fontId="7" fillId="0" borderId="0"/>
    <xf numFmtId="0" fontId="3" fillId="0" borderId="0"/>
    <xf numFmtId="0" fontId="7" fillId="0" borderId="0"/>
    <xf numFmtId="0" fontId="15" fillId="0" borderId="0"/>
    <xf numFmtId="0" fontId="7" fillId="0" borderId="0"/>
    <xf numFmtId="0" fontId="7" fillId="0" borderId="0"/>
  </cellStyleXfs>
  <cellXfs count="1699">
    <xf numFmtId="0" fontId="0" fillId="0" borderId="0" xfId="0"/>
    <xf numFmtId="0" fontId="0" fillId="0" borderId="0" xfId="0" applyBorder="1" applyAlignment="1">
      <alignment horizontal="center"/>
    </xf>
    <xf numFmtId="0" fontId="42" fillId="0" borderId="0" xfId="87" applyFont="1"/>
    <xf numFmtId="0" fontId="15" fillId="0" borderId="0" xfId="87"/>
    <xf numFmtId="0" fontId="42" fillId="0" borderId="0" xfId="81" applyFont="1"/>
    <xf numFmtId="2" fontId="42" fillId="0" borderId="0" xfId="81" applyNumberFormat="1" applyFont="1"/>
    <xf numFmtId="0" fontId="10" fillId="0" borderId="0" xfId="0" applyFont="1" applyBorder="1" applyAlignment="1">
      <alignment horizontal="center"/>
    </xf>
    <xf numFmtId="0" fontId="0" fillId="0" borderId="14" xfId="0" applyBorder="1"/>
    <xf numFmtId="0" fontId="0" fillId="0" borderId="15" xfId="0" applyBorder="1"/>
    <xf numFmtId="0" fontId="0" fillId="0" borderId="16" xfId="0" applyBorder="1"/>
    <xf numFmtId="0" fontId="0" fillId="0" borderId="17" xfId="0" applyBorder="1"/>
    <xf numFmtId="0" fontId="0" fillId="0" borderId="0" xfId="0" applyBorder="1"/>
    <xf numFmtId="0" fontId="0" fillId="0" borderId="10" xfId="0" applyBorder="1"/>
    <xf numFmtId="0" fontId="0" fillId="0" borderId="18" xfId="0" applyBorder="1"/>
    <xf numFmtId="0" fontId="0" fillId="0" borderId="19" xfId="0" applyBorder="1"/>
    <xf numFmtId="0" fontId="0" fillId="0" borderId="20" xfId="0" applyBorder="1"/>
    <xf numFmtId="0" fontId="16" fillId="0" borderId="10" xfId="0" applyFont="1" applyBorder="1" applyAlignment="1">
      <alignment vertical="center" wrapText="1"/>
    </xf>
    <xf numFmtId="0" fontId="46" fillId="0" borderId="17" xfId="0" applyFont="1" applyBorder="1"/>
    <xf numFmtId="0" fontId="46" fillId="0" borderId="0" xfId="0" applyFont="1" applyBorder="1"/>
    <xf numFmtId="0" fontId="46" fillId="0" borderId="10" xfId="0" applyFont="1" applyBorder="1"/>
    <xf numFmtId="0" fontId="46" fillId="0" borderId="0" xfId="0" applyFont="1"/>
    <xf numFmtId="0" fontId="47" fillId="0" borderId="0" xfId="0" applyFont="1" applyBorder="1"/>
    <xf numFmtId="0" fontId="46" fillId="0" borderId="0" xfId="0" applyFont="1" applyBorder="1" applyAlignment="1">
      <alignment horizontal="right"/>
    </xf>
    <xf numFmtId="0" fontId="48" fillId="0" borderId="0" xfId="0" applyFont="1" applyBorder="1" applyAlignment="1">
      <alignment horizontal="right"/>
    </xf>
    <xf numFmtId="0" fontId="48" fillId="0" borderId="0" xfId="0" applyFont="1" applyBorder="1" applyAlignment="1">
      <alignment horizontal="center"/>
    </xf>
    <xf numFmtId="0" fontId="42" fillId="27" borderId="0" xfId="87" applyFont="1" applyFill="1" applyAlignment="1">
      <alignment horizontal="center"/>
    </xf>
    <xf numFmtId="0" fontId="42" fillId="0" borderId="0" xfId="87" applyFont="1" applyFill="1"/>
    <xf numFmtId="0" fontId="15" fillId="0" borderId="0" xfId="87" applyFill="1"/>
    <xf numFmtId="2" fontId="42" fillId="0" borderId="0" xfId="81" applyNumberFormat="1" applyFont="1" applyFill="1"/>
    <xf numFmtId="0" fontId="42" fillId="28" borderId="0" xfId="87" applyFont="1" applyFill="1" applyAlignment="1">
      <alignment horizontal="center"/>
    </xf>
    <xf numFmtId="0" fontId="42" fillId="29" borderId="0" xfId="87" applyFont="1" applyFill="1" applyAlignment="1">
      <alignment horizontal="center"/>
    </xf>
    <xf numFmtId="0" fontId="42" fillId="30" borderId="0" xfId="87" applyFont="1" applyFill="1" applyAlignment="1">
      <alignment horizontal="center"/>
    </xf>
    <xf numFmtId="0" fontId="40" fillId="0" borderId="0" xfId="87" applyFont="1" applyFill="1" applyAlignment="1">
      <alignment horizontal="center" vertical="top"/>
    </xf>
    <xf numFmtId="0" fontId="41" fillId="0" borderId="0" xfId="87" applyFont="1" applyFill="1" applyAlignment="1">
      <alignment horizontal="center" vertical="top"/>
    </xf>
    <xf numFmtId="0" fontId="41" fillId="0" borderId="0" xfId="87" applyFont="1" applyAlignment="1">
      <alignment horizontal="center" vertical="top"/>
    </xf>
    <xf numFmtId="0" fontId="40" fillId="0" borderId="0" xfId="87" applyFont="1" applyAlignment="1">
      <alignment horizontal="center" vertical="top"/>
    </xf>
    <xf numFmtId="0" fontId="57" fillId="0" borderId="0" xfId="86" applyFont="1" applyBorder="1" applyAlignment="1">
      <alignment horizontal="justify" vertical="top" wrapText="1"/>
    </xf>
    <xf numFmtId="0" fontId="57" fillId="0" borderId="0" xfId="86" applyFont="1" applyBorder="1" applyAlignment="1">
      <alignment vertical="top" wrapText="1"/>
    </xf>
    <xf numFmtId="173" fontId="48" fillId="0" borderId="0" xfId="0" applyNumberFormat="1" applyFont="1" applyBorder="1"/>
    <xf numFmtId="0" fontId="63" fillId="0" borderId="0" xfId="83" applyFont="1" applyBorder="1" applyAlignment="1">
      <alignment horizontal="centerContinuous" vertical="top" wrapText="1"/>
    </xf>
    <xf numFmtId="0" fontId="57" fillId="0" borderId="0" xfId="83" applyFont="1" applyBorder="1" applyAlignment="1">
      <alignment horizontal="centerContinuous" vertical="top"/>
    </xf>
    <xf numFmtId="0" fontId="57" fillId="0" borderId="0" xfId="83" applyFont="1" applyBorder="1" applyAlignment="1">
      <alignment vertical="top"/>
    </xf>
    <xf numFmtId="0" fontId="54" fillId="0" borderId="0" xfId="83" applyFont="1" applyBorder="1" applyAlignment="1">
      <alignment horizontal="centerContinuous" vertical="top" wrapText="1"/>
    </xf>
    <xf numFmtId="0" fontId="54" fillId="0" borderId="0" xfId="83" applyFont="1" applyBorder="1" applyAlignment="1">
      <alignment vertical="top" wrapText="1"/>
    </xf>
    <xf numFmtId="0" fontId="61" fillId="0" borderId="0" xfId="78" applyFont="1" applyBorder="1" applyAlignment="1">
      <alignment vertical="top"/>
    </xf>
    <xf numFmtId="0" fontId="55" fillId="0" borderId="0" xfId="78" applyFont="1" applyBorder="1" applyAlignment="1">
      <alignment vertical="top"/>
    </xf>
    <xf numFmtId="0" fontId="64" fillId="0" borderId="0" xfId="78" applyFont="1" applyBorder="1" applyAlignment="1">
      <alignment vertical="top"/>
    </xf>
    <xf numFmtId="0" fontId="55" fillId="0" borderId="0" xfId="83" applyFont="1" applyBorder="1" applyAlignment="1">
      <alignment horizontal="right" vertical="top"/>
    </xf>
    <xf numFmtId="2" fontId="55" fillId="0" borderId="0" xfId="83" applyNumberFormat="1" applyFont="1" applyBorder="1" applyAlignment="1">
      <alignment horizontal="left" vertical="top"/>
    </xf>
    <xf numFmtId="0" fontId="64" fillId="0" borderId="0" xfId="83" applyFont="1" applyBorder="1" applyAlignment="1">
      <alignment vertical="top"/>
    </xf>
    <xf numFmtId="0" fontId="57" fillId="0" borderId="0" xfId="78" applyFont="1" applyBorder="1" applyAlignment="1">
      <alignment vertical="top"/>
    </xf>
    <xf numFmtId="0" fontId="57" fillId="0" borderId="0" xfId="86" applyFont="1" applyBorder="1" applyAlignment="1">
      <alignment horizontal="center" vertical="top"/>
    </xf>
    <xf numFmtId="0" fontId="57" fillId="0" borderId="0" xfId="0" applyFont="1" applyBorder="1" applyAlignment="1">
      <alignment horizontal="center" vertical="top"/>
    </xf>
    <xf numFmtId="0" fontId="57" fillId="0" borderId="0" xfId="86" applyFont="1" applyBorder="1" applyAlignment="1">
      <alignment vertical="top"/>
    </xf>
    <xf numFmtId="2" fontId="57" fillId="0" borderId="0" xfId="0" applyNumberFormat="1" applyFont="1" applyBorder="1" applyAlignment="1">
      <alignment horizontal="right" vertical="top"/>
    </xf>
    <xf numFmtId="0" fontId="57" fillId="0" borderId="0" xfId="86" applyFont="1" applyBorder="1" applyAlignment="1">
      <alignment horizontal="center" vertical="top" wrapText="1"/>
    </xf>
    <xf numFmtId="0" fontId="57" fillId="0" borderId="0" xfId="0" applyFont="1" applyBorder="1" applyAlignment="1">
      <alignment vertical="top"/>
    </xf>
    <xf numFmtId="0" fontId="57" fillId="31" borderId="0" xfId="84" applyFont="1" applyFill="1" applyBorder="1" applyAlignment="1">
      <alignment horizontal="center" vertical="top" wrapText="1"/>
    </xf>
    <xf numFmtId="2" fontId="57" fillId="31" borderId="0" xfId="0" applyNumberFormat="1" applyFont="1" applyFill="1" applyBorder="1" applyAlignment="1">
      <alignment horizontal="right" vertical="top"/>
    </xf>
    <xf numFmtId="0" fontId="57" fillId="31" borderId="0" xfId="0" applyFont="1" applyFill="1" applyBorder="1" applyAlignment="1">
      <alignment vertical="top"/>
    </xf>
    <xf numFmtId="0" fontId="54" fillId="0" borderId="0" xfId="83" applyFont="1" applyBorder="1" applyAlignment="1">
      <alignment vertical="top"/>
    </xf>
    <xf numFmtId="0" fontId="54" fillId="0" borderId="0" xfId="83" applyFont="1" applyBorder="1" applyAlignment="1">
      <alignment horizontal="right" vertical="top"/>
    </xf>
    <xf numFmtId="0" fontId="54" fillId="0" borderId="0" xfId="83" applyFont="1" applyBorder="1" applyAlignment="1">
      <alignment horizontal="left" vertical="top"/>
    </xf>
    <xf numFmtId="0" fontId="57" fillId="0" borderId="0" xfId="85" applyFont="1" applyBorder="1" applyAlignment="1">
      <alignment horizontal="center" vertical="top" wrapText="1"/>
    </xf>
    <xf numFmtId="0" fontId="57" fillId="0" borderId="0" xfId="85" applyFont="1" applyBorder="1" applyAlignment="1">
      <alignment vertical="top"/>
    </xf>
    <xf numFmtId="0" fontId="54" fillId="0" borderId="0" xfId="83" applyFont="1" applyBorder="1" applyAlignment="1">
      <alignment horizontal="center" vertical="top"/>
    </xf>
    <xf numFmtId="0" fontId="57" fillId="0" borderId="0" xfId="83" applyFont="1" applyBorder="1" applyAlignment="1">
      <alignment horizontal="center" vertical="top"/>
    </xf>
    <xf numFmtId="0" fontId="57" fillId="0" borderId="0" xfId="84" applyFont="1" applyBorder="1" applyAlignment="1">
      <alignment horizontal="center" vertical="top" wrapText="1"/>
    </xf>
    <xf numFmtId="0" fontId="56" fillId="0" borderId="0" xfId="83" applyFont="1" applyBorder="1" applyAlignment="1">
      <alignment horizontal="centerContinuous" vertical="top" wrapText="1"/>
    </xf>
    <xf numFmtId="0" fontId="65" fillId="0" borderId="0" xfId="83" applyFont="1" applyBorder="1" applyAlignment="1">
      <alignment horizontal="centerContinuous" vertical="top" wrapText="1"/>
    </xf>
    <xf numFmtId="2" fontId="54" fillId="0" borderId="0" xfId="83" applyNumberFormat="1" applyFont="1" applyBorder="1" applyAlignment="1">
      <alignment horizontal="right" vertical="top"/>
    </xf>
    <xf numFmtId="0" fontId="66" fillId="0" borderId="21" xfId="0" applyFont="1" applyBorder="1" applyAlignment="1">
      <alignment horizontal="center" vertical="top" wrapText="1"/>
    </xf>
    <xf numFmtId="0" fontId="66" fillId="0" borderId="21" xfId="0" applyFont="1" applyFill="1" applyBorder="1" applyAlignment="1">
      <alignment horizontal="center" vertical="top" wrapText="1"/>
    </xf>
    <xf numFmtId="0" fontId="67" fillId="0" borderId="21" xfId="0" applyFont="1" applyFill="1" applyBorder="1" applyAlignment="1">
      <alignment vertical="top"/>
    </xf>
    <xf numFmtId="2" fontId="57" fillId="28" borderId="8" xfId="87" applyNumberFormat="1" applyFont="1" applyFill="1" applyBorder="1"/>
    <xf numFmtId="2" fontId="57" fillId="32" borderId="8" xfId="87" applyNumberFormat="1" applyFont="1" applyFill="1" applyBorder="1"/>
    <xf numFmtId="2" fontId="57" fillId="33" borderId="8" xfId="87" applyNumberFormat="1" applyFont="1" applyFill="1" applyBorder="1"/>
    <xf numFmtId="2" fontId="57" fillId="34" borderId="8" xfId="87" applyNumberFormat="1" applyFont="1" applyFill="1" applyBorder="1"/>
    <xf numFmtId="2" fontId="57" fillId="35" borderId="8" xfId="87" applyNumberFormat="1" applyFont="1" applyFill="1" applyBorder="1"/>
    <xf numFmtId="2" fontId="57" fillId="28" borderId="8" xfId="81" applyNumberFormat="1" applyFont="1" applyFill="1" applyBorder="1"/>
    <xf numFmtId="2" fontId="57" fillId="33" borderId="8" xfId="81" applyNumberFormat="1" applyFont="1" applyFill="1" applyBorder="1"/>
    <xf numFmtId="2" fontId="57" fillId="32" borderId="8" xfId="81" applyNumberFormat="1" applyFont="1" applyFill="1" applyBorder="1"/>
    <xf numFmtId="2" fontId="57" fillId="36" borderId="8" xfId="81" applyNumberFormat="1" applyFont="1" applyFill="1" applyBorder="1"/>
    <xf numFmtId="2" fontId="57" fillId="27" borderId="8" xfId="81" applyNumberFormat="1" applyFont="1" applyFill="1" applyBorder="1"/>
    <xf numFmtId="2" fontId="51" fillId="28" borderId="0" xfId="0" applyNumberFormat="1" applyFont="1" applyFill="1"/>
    <xf numFmtId="2" fontId="57" fillId="37" borderId="8" xfId="81" applyNumberFormat="1" applyFont="1" applyFill="1" applyBorder="1"/>
    <xf numFmtId="0" fontId="57" fillId="0" borderId="8" xfId="87" applyFont="1" applyFill="1" applyBorder="1" applyAlignment="1">
      <alignment horizontal="center"/>
    </xf>
    <xf numFmtId="0" fontId="42" fillId="0" borderId="0" xfId="87" applyFont="1" applyAlignment="1">
      <alignment horizontal="center"/>
    </xf>
    <xf numFmtId="2" fontId="79" fillId="0" borderId="22" xfId="0" applyNumberFormat="1" applyFont="1" applyBorder="1" applyAlignment="1">
      <alignment horizontal="right" vertical="top" wrapText="1"/>
    </xf>
    <xf numFmtId="0" fontId="79" fillId="0" borderId="23" xfId="0" applyFont="1" applyBorder="1" applyAlignment="1">
      <alignment horizontal="right" vertical="top" wrapText="1"/>
    </xf>
    <xf numFmtId="2" fontId="79" fillId="0" borderId="23" xfId="0" applyNumberFormat="1" applyFont="1" applyBorder="1" applyAlignment="1">
      <alignment horizontal="right" vertical="top" wrapText="1"/>
    </xf>
    <xf numFmtId="2" fontId="79" fillId="40" borderId="22" xfId="0" applyNumberFormat="1" applyFont="1" applyFill="1" applyBorder="1" applyAlignment="1">
      <alignment horizontal="right" vertical="top" shrinkToFit="1"/>
    </xf>
    <xf numFmtId="2" fontId="79" fillId="40" borderId="23" xfId="0" applyNumberFormat="1" applyFont="1" applyFill="1" applyBorder="1" applyAlignment="1">
      <alignment horizontal="right" vertical="top" shrinkToFit="1"/>
    </xf>
    <xf numFmtId="2" fontId="78" fillId="0" borderId="23" xfId="0" applyNumberFormat="1" applyFont="1" applyBorder="1" applyAlignment="1">
      <alignment horizontal="right" vertical="top" wrapText="1"/>
    </xf>
    <xf numFmtId="2" fontId="79" fillId="0" borderId="22" xfId="0" applyNumberFormat="1" applyFont="1" applyFill="1" applyBorder="1" applyAlignment="1">
      <alignment horizontal="right" vertical="top" shrinkToFit="1"/>
    </xf>
    <xf numFmtId="2" fontId="79" fillId="0" borderId="23" xfId="0" applyNumberFormat="1" applyFont="1" applyFill="1" applyBorder="1" applyAlignment="1">
      <alignment horizontal="right" vertical="top" shrinkToFit="1"/>
    </xf>
    <xf numFmtId="2" fontId="78" fillId="40" borderId="23" xfId="0" applyNumberFormat="1" applyFont="1" applyFill="1" applyBorder="1" applyAlignment="1">
      <alignment horizontal="right" vertical="top" wrapText="1"/>
    </xf>
    <xf numFmtId="2" fontId="79" fillId="0" borderId="23" xfId="0" applyNumberFormat="1" applyFont="1" applyBorder="1" applyAlignment="1">
      <alignment horizontal="right" vertical="center" wrapText="1"/>
    </xf>
    <xf numFmtId="2" fontId="79" fillId="0" borderId="22" xfId="0" applyNumberFormat="1" applyFont="1" applyFill="1" applyBorder="1" applyAlignment="1">
      <alignment horizontal="right" vertical="top" wrapText="1"/>
    </xf>
    <xf numFmtId="2" fontId="79" fillId="0" borderId="23" xfId="0" applyNumberFormat="1" applyFont="1" applyFill="1" applyBorder="1" applyAlignment="1">
      <alignment horizontal="right" vertical="top" wrapText="1"/>
    </xf>
    <xf numFmtId="169" fontId="79" fillId="0" borderId="23" xfId="0" applyNumberFormat="1" applyFont="1" applyBorder="1" applyAlignment="1">
      <alignment horizontal="right" vertical="top" wrapText="1"/>
    </xf>
    <xf numFmtId="169" fontId="78" fillId="40" borderId="23" xfId="0" applyNumberFormat="1" applyFont="1" applyFill="1" applyBorder="1" applyAlignment="1">
      <alignment horizontal="right" vertical="top" wrapText="1"/>
    </xf>
    <xf numFmtId="169" fontId="79" fillId="0" borderId="23" xfId="0" applyNumberFormat="1" applyFont="1" applyFill="1" applyBorder="1" applyAlignment="1">
      <alignment horizontal="right" vertical="top" wrapText="1"/>
    </xf>
    <xf numFmtId="169" fontId="78" fillId="0" borderId="23" xfId="0" applyNumberFormat="1" applyFont="1" applyFill="1" applyBorder="1" applyAlignment="1">
      <alignment horizontal="right" vertical="top" wrapText="1"/>
    </xf>
    <xf numFmtId="2" fontId="79" fillId="0" borderId="22" xfId="0" applyNumberFormat="1" applyFont="1" applyBorder="1" applyAlignment="1">
      <alignment horizontal="right" vertical="top"/>
    </xf>
    <xf numFmtId="171" fontId="78" fillId="0" borderId="23" xfId="0" applyNumberFormat="1" applyFont="1" applyFill="1" applyBorder="1" applyAlignment="1">
      <alignment horizontal="right" vertical="top" wrapText="1"/>
    </xf>
    <xf numFmtId="2" fontId="78" fillId="0" borderId="22" xfId="0" applyNumberFormat="1" applyFont="1" applyBorder="1" applyAlignment="1">
      <alignment horizontal="right" vertical="top" wrapText="1"/>
    </xf>
    <xf numFmtId="169" fontId="78" fillId="0" borderId="23" xfId="0" applyNumberFormat="1" applyFont="1" applyBorder="1" applyAlignment="1">
      <alignment horizontal="right" vertical="top" wrapText="1"/>
    </xf>
    <xf numFmtId="171" fontId="79" fillId="0" borderId="23" xfId="0" applyNumberFormat="1" applyFont="1" applyFill="1" applyBorder="1" applyAlignment="1">
      <alignment horizontal="right" vertical="top" wrapText="1"/>
    </xf>
    <xf numFmtId="2" fontId="79" fillId="0" borderId="22" xfId="90" applyNumberFormat="1" applyFont="1" applyFill="1" applyBorder="1" applyAlignment="1">
      <alignment horizontal="right" vertical="top" wrapText="1"/>
    </xf>
    <xf numFmtId="169" fontId="79" fillId="40" borderId="23" xfId="0" applyNumberFormat="1" applyFont="1" applyFill="1" applyBorder="1" applyAlignment="1">
      <alignment horizontal="right" vertical="top" wrapText="1"/>
    </xf>
    <xf numFmtId="0" fontId="79" fillId="0" borderId="23" xfId="0" applyFont="1" applyFill="1" applyBorder="1" applyAlignment="1">
      <alignment horizontal="right" vertical="top" wrapText="1"/>
    </xf>
    <xf numFmtId="2" fontId="78" fillId="32" borderId="23" xfId="0" applyNumberFormat="1" applyFont="1" applyFill="1" applyBorder="1" applyAlignment="1">
      <alignment horizontal="right" vertical="top" wrapText="1"/>
    </xf>
    <xf numFmtId="2" fontId="79" fillId="0" borderId="22" xfId="0" applyNumberFormat="1" applyFont="1" applyBorder="1" applyAlignment="1">
      <alignment horizontal="right" vertical="center" wrapText="1"/>
    </xf>
    <xf numFmtId="169" fontId="78" fillId="0" borderId="23" xfId="0" applyNumberFormat="1" applyFont="1" applyBorder="1" applyAlignment="1">
      <alignment horizontal="right" vertical="center" wrapText="1"/>
    </xf>
    <xf numFmtId="2" fontId="79" fillId="0" borderId="22" xfId="0" applyNumberFormat="1" applyFont="1" applyFill="1" applyBorder="1" applyAlignment="1">
      <alignment horizontal="right" vertical="center" wrapText="1"/>
    </xf>
    <xf numFmtId="169" fontId="79" fillId="0" borderId="23" xfId="0" applyNumberFormat="1" applyFont="1" applyBorder="1" applyAlignment="1">
      <alignment horizontal="right" vertical="center" wrapText="1"/>
    </xf>
    <xf numFmtId="169" fontId="78" fillId="41" borderId="23" xfId="0" applyNumberFormat="1" applyFont="1" applyFill="1" applyBorder="1" applyAlignment="1">
      <alignment horizontal="right" vertical="center" wrapText="1"/>
    </xf>
    <xf numFmtId="2" fontId="79" fillId="41" borderId="22" xfId="0" applyNumberFormat="1" applyFont="1" applyFill="1" applyBorder="1" applyAlignment="1">
      <alignment horizontal="right" vertical="top" wrapText="1"/>
    </xf>
    <xf numFmtId="2" fontId="78" fillId="41" borderId="23" xfId="0" applyNumberFormat="1" applyFont="1" applyFill="1" applyBorder="1" applyAlignment="1">
      <alignment horizontal="right" vertical="top" wrapText="1"/>
    </xf>
    <xf numFmtId="169" fontId="78" fillId="36" borderId="23" xfId="0" applyNumberFormat="1" applyFont="1" applyFill="1" applyBorder="1" applyAlignment="1">
      <alignment horizontal="right" vertical="top" wrapText="1"/>
    </xf>
    <xf numFmtId="2" fontId="79" fillId="36" borderId="22" xfId="0" applyNumberFormat="1" applyFont="1" applyFill="1" applyBorder="1" applyAlignment="1">
      <alignment horizontal="right" vertical="top" wrapText="1"/>
    </xf>
    <xf numFmtId="169" fontId="79" fillId="0" borderId="0" xfId="0" applyNumberFormat="1" applyFont="1" applyBorder="1" applyAlignment="1">
      <alignment horizontal="right" vertical="top" wrapText="1"/>
    </xf>
    <xf numFmtId="2" fontId="79" fillId="0" borderId="22" xfId="0" applyNumberFormat="1" applyFont="1" applyBorder="1" applyAlignment="1">
      <alignment horizontal="center" vertical="top" wrapText="1"/>
    </xf>
    <xf numFmtId="9" fontId="79" fillId="0" borderId="22" xfId="90" applyFont="1" applyBorder="1" applyAlignment="1">
      <alignment horizontal="center" vertical="top" wrapText="1"/>
    </xf>
    <xf numFmtId="2" fontId="79" fillId="40" borderId="22" xfId="0" applyNumberFormat="1" applyFont="1" applyFill="1" applyBorder="1" applyAlignment="1">
      <alignment horizontal="center" vertical="top" shrinkToFit="1"/>
    </xf>
    <xf numFmtId="2" fontId="79" fillId="0" borderId="22" xfId="0" applyNumberFormat="1" applyFont="1" applyFill="1" applyBorder="1" applyAlignment="1">
      <alignment horizontal="center" vertical="top" shrinkToFit="1"/>
    </xf>
    <xf numFmtId="2" fontId="79" fillId="0" borderId="22" xfId="0" applyNumberFormat="1" applyFont="1" applyFill="1" applyBorder="1" applyAlignment="1">
      <alignment horizontal="center" vertical="top" wrapText="1"/>
    </xf>
    <xf numFmtId="2" fontId="79" fillId="38" borderId="22" xfId="0" applyNumberFormat="1" applyFont="1" applyFill="1" applyBorder="1" applyAlignment="1">
      <alignment horizontal="center" vertical="top" wrapText="1"/>
    </xf>
    <xf numFmtId="2" fontId="78" fillId="0" borderId="22" xfId="0" applyNumberFormat="1" applyFont="1" applyBorder="1" applyAlignment="1">
      <alignment horizontal="center"/>
    </xf>
    <xf numFmtId="2" fontId="79" fillId="0" borderId="22" xfId="0" applyNumberFormat="1" applyFont="1" applyBorder="1" applyAlignment="1">
      <alignment horizontal="center"/>
    </xf>
    <xf numFmtId="2" fontId="79" fillId="0" borderId="22" xfId="90" applyNumberFormat="1" applyFont="1" applyFill="1" applyBorder="1" applyAlignment="1">
      <alignment horizontal="center" vertical="top" wrapText="1"/>
    </xf>
    <xf numFmtId="2" fontId="79" fillId="0" borderId="22" xfId="0" applyNumberFormat="1" applyFont="1" applyBorder="1" applyAlignment="1">
      <alignment horizontal="center" vertical="center" wrapText="1"/>
    </xf>
    <xf numFmtId="2" fontId="79" fillId="41" borderId="22" xfId="0" applyNumberFormat="1" applyFont="1" applyFill="1" applyBorder="1" applyAlignment="1">
      <alignment horizontal="center" vertical="top" wrapText="1"/>
    </xf>
    <xf numFmtId="167" fontId="79" fillId="41" borderId="22" xfId="0" applyNumberFormat="1" applyFont="1" applyFill="1" applyBorder="1" applyAlignment="1">
      <alignment horizontal="center" vertical="top" wrapText="1"/>
    </xf>
    <xf numFmtId="2" fontId="79" fillId="36" borderId="22" xfId="0" applyNumberFormat="1" applyFont="1" applyFill="1" applyBorder="1" applyAlignment="1">
      <alignment horizontal="center" vertical="top" wrapText="1"/>
    </xf>
    <xf numFmtId="167" fontId="79" fillId="0" borderId="22" xfId="0" applyNumberFormat="1" applyFont="1" applyBorder="1" applyAlignment="1">
      <alignment horizontal="center" vertical="center" wrapText="1"/>
    </xf>
    <xf numFmtId="2" fontId="78" fillId="0" borderId="22" xfId="0" applyNumberFormat="1" applyFont="1" applyBorder="1" applyAlignment="1">
      <alignment horizontal="center" vertical="top" wrapText="1"/>
    </xf>
    <xf numFmtId="169" fontId="79" fillId="0" borderId="0" xfId="0" applyNumberFormat="1" applyFont="1" applyBorder="1" applyAlignment="1">
      <alignment horizontal="center" vertical="top" wrapText="1"/>
    </xf>
    <xf numFmtId="169" fontId="78" fillId="40" borderId="23" xfId="0" applyNumberFormat="1" applyFont="1" applyFill="1" applyBorder="1" applyAlignment="1">
      <alignment horizontal="right" vertical="center" wrapText="1"/>
    </xf>
    <xf numFmtId="0" fontId="78" fillId="0" borderId="0" xfId="0" applyFont="1" applyBorder="1" applyAlignment="1">
      <alignment horizontal="center" vertical="top" wrapText="1"/>
    </xf>
    <xf numFmtId="0" fontId="79" fillId="0" borderId="0" xfId="0" applyFont="1" applyBorder="1"/>
    <xf numFmtId="0" fontId="79" fillId="0" borderId="0" xfId="0" applyFont="1" applyBorder="1" applyAlignment="1">
      <alignment horizontal="center" vertical="center" wrapText="1"/>
    </xf>
    <xf numFmtId="170" fontId="79" fillId="0" borderId="0" xfId="0" applyNumberFormat="1" applyFont="1" applyBorder="1" applyAlignment="1">
      <alignment horizontal="center" vertical="center" wrapText="1"/>
    </xf>
    <xf numFmtId="0" fontId="78" fillId="0" borderId="24" xfId="0" applyFont="1" applyBorder="1" applyAlignment="1">
      <alignment horizontal="center" vertical="top" wrapText="1"/>
    </xf>
    <xf numFmtId="170" fontId="78" fillId="0" borderId="22" xfId="0" applyNumberFormat="1" applyFont="1" applyBorder="1" applyAlignment="1">
      <alignment horizontal="center" vertical="top" wrapText="1"/>
    </xf>
    <xf numFmtId="0" fontId="78" fillId="0" borderId="22" xfId="0" applyFont="1" applyBorder="1" applyAlignment="1">
      <alignment horizontal="justify" vertical="top" wrapText="1"/>
    </xf>
    <xf numFmtId="0" fontId="79" fillId="0" borderId="22" xfId="0" applyFont="1" applyBorder="1" applyAlignment="1">
      <alignment horizontal="justify" vertical="top" shrinkToFit="1"/>
    </xf>
    <xf numFmtId="170" fontId="79" fillId="0" borderId="24" xfId="0" applyNumberFormat="1" applyFont="1" applyBorder="1" applyAlignment="1">
      <alignment horizontal="center" vertical="top" wrapText="1"/>
    </xf>
    <xf numFmtId="0" fontId="79" fillId="0" borderId="22" xfId="0" applyFont="1" applyBorder="1" applyAlignment="1">
      <alignment horizontal="justify" vertical="top" wrapText="1"/>
    </xf>
    <xf numFmtId="2" fontId="79" fillId="0" borderId="22" xfId="0" applyNumberFormat="1" applyFont="1" applyBorder="1" applyAlignment="1">
      <alignment horizontal="center" vertical="top" shrinkToFit="1"/>
    </xf>
    <xf numFmtId="170" fontId="79" fillId="0" borderId="24" xfId="0" applyNumberFormat="1" applyFont="1" applyFill="1" applyBorder="1" applyAlignment="1">
      <alignment horizontal="center" vertical="top" wrapText="1"/>
    </xf>
    <xf numFmtId="170" fontId="78" fillId="0" borderId="22" xfId="0" applyNumberFormat="1" applyFont="1" applyFill="1" applyBorder="1" applyAlignment="1">
      <alignment horizontal="center" vertical="top" wrapText="1"/>
    </xf>
    <xf numFmtId="0" fontId="79" fillId="40" borderId="22" xfId="0" applyFont="1" applyFill="1" applyBorder="1" applyAlignment="1">
      <alignment horizontal="justify" vertical="top" wrapText="1"/>
    </xf>
    <xf numFmtId="170" fontId="79" fillId="0" borderId="0" xfId="0" applyNumberFormat="1" applyFont="1" applyFill="1" applyBorder="1" applyAlignment="1">
      <alignment horizontal="center" vertical="center" wrapText="1"/>
    </xf>
    <xf numFmtId="170" fontId="78" fillId="0" borderId="24" xfId="0" applyNumberFormat="1" applyFont="1" applyBorder="1" applyAlignment="1">
      <alignment horizontal="center" vertical="top" wrapText="1"/>
    </xf>
    <xf numFmtId="2" fontId="78" fillId="0" borderId="22" xfId="0" applyNumberFormat="1" applyFont="1" applyBorder="1" applyAlignment="1">
      <alignment horizontal="center" vertical="top" shrinkToFit="1"/>
    </xf>
    <xf numFmtId="170" fontId="78" fillId="0" borderId="0" xfId="0" applyNumberFormat="1" applyFont="1" applyBorder="1" applyAlignment="1">
      <alignment horizontal="center" vertical="center" wrapText="1"/>
    </xf>
    <xf numFmtId="0" fontId="79" fillId="0" borderId="22" xfId="0" applyFont="1" applyFill="1" applyBorder="1" applyAlignment="1">
      <alignment horizontal="justify" vertical="top" wrapText="1"/>
    </xf>
    <xf numFmtId="0" fontId="78" fillId="0" borderId="22" xfId="0" applyFont="1" applyFill="1" applyBorder="1" applyAlignment="1">
      <alignment horizontal="justify" vertical="top" wrapText="1"/>
    </xf>
    <xf numFmtId="0" fontId="78" fillId="0" borderId="22" xfId="0" applyFont="1" applyBorder="1" applyAlignment="1">
      <alignment horizontal="center" vertical="top" wrapText="1"/>
    </xf>
    <xf numFmtId="0" fontId="78" fillId="0" borderId="0" xfId="0" applyFont="1" applyBorder="1"/>
    <xf numFmtId="0" fontId="79" fillId="0" borderId="24" xfId="0" applyFont="1" applyBorder="1" applyAlignment="1">
      <alignment horizontal="center" vertical="top" wrapText="1"/>
    </xf>
    <xf numFmtId="0" fontId="78" fillId="0" borderId="24" xfId="0" applyFont="1" applyFill="1" applyBorder="1" applyAlignment="1">
      <alignment horizontal="center" vertical="top" wrapText="1"/>
    </xf>
    <xf numFmtId="0" fontId="78" fillId="0" borderId="22" xfId="0" applyFont="1" applyFill="1" applyBorder="1" applyAlignment="1">
      <alignment horizontal="center" vertical="top" wrapText="1"/>
    </xf>
    <xf numFmtId="0" fontId="79" fillId="0" borderId="0" xfId="0" applyFont="1" applyFill="1" applyBorder="1"/>
    <xf numFmtId="0" fontId="79" fillId="0" borderId="24" xfId="0" applyFont="1" applyFill="1" applyBorder="1" applyAlignment="1">
      <alignment horizontal="center" vertical="top" wrapText="1"/>
    </xf>
    <xf numFmtId="2" fontId="78" fillId="0" borderId="22" xfId="0" applyNumberFormat="1" applyFont="1" applyFill="1" applyBorder="1" applyAlignment="1">
      <alignment horizontal="center" vertical="top" shrinkToFit="1"/>
    </xf>
    <xf numFmtId="0" fontId="78" fillId="0" borderId="0" xfId="0" applyFont="1" applyFill="1" applyBorder="1"/>
    <xf numFmtId="0" fontId="78" fillId="0" borderId="24" xfId="0" applyFont="1" applyBorder="1" applyAlignment="1">
      <alignment horizontal="center" vertical="center"/>
    </xf>
    <xf numFmtId="169" fontId="78" fillId="0" borderId="22" xfId="0" applyNumberFormat="1" applyFont="1" applyFill="1" applyBorder="1" applyAlignment="1">
      <alignment horizontal="justify" vertical="top" wrapText="1"/>
    </xf>
    <xf numFmtId="0" fontId="79" fillId="0" borderId="24" xfId="0" applyFont="1" applyBorder="1" applyAlignment="1">
      <alignment horizontal="center" vertical="center"/>
    </xf>
    <xf numFmtId="169" fontId="79" fillId="0" borderId="22" xfId="0" applyNumberFormat="1" applyFont="1" applyBorder="1" applyAlignment="1">
      <alignment horizontal="center" vertical="top" wrapText="1"/>
    </xf>
    <xf numFmtId="169" fontId="79" fillId="0" borderId="22" xfId="0" applyNumberFormat="1" applyFont="1" applyFill="1" applyBorder="1" applyAlignment="1">
      <alignment horizontal="justify" vertical="top" wrapText="1"/>
    </xf>
    <xf numFmtId="169" fontId="79" fillId="0" borderId="22" xfId="0" applyNumberFormat="1" applyFont="1" applyFill="1" applyBorder="1" applyAlignment="1">
      <alignment horizontal="center" vertical="top" wrapText="1"/>
    </xf>
    <xf numFmtId="169" fontId="78" fillId="0" borderId="22" xfId="0" applyNumberFormat="1" applyFont="1" applyBorder="1" applyAlignment="1">
      <alignment horizontal="center" vertical="top" wrapText="1"/>
    </xf>
    <xf numFmtId="169" fontId="79" fillId="38" borderId="22" xfId="0" applyNumberFormat="1" applyFont="1" applyFill="1" applyBorder="1" applyAlignment="1">
      <alignment horizontal="center" vertical="top" wrapText="1"/>
    </xf>
    <xf numFmtId="0" fontId="79" fillId="0" borderId="22" xfId="0" applyFont="1" applyBorder="1"/>
    <xf numFmtId="0" fontId="79" fillId="0" borderId="24" xfId="0" applyFont="1" applyFill="1" applyBorder="1" applyAlignment="1">
      <alignment horizontal="center" vertical="center"/>
    </xf>
    <xf numFmtId="0" fontId="78" fillId="0" borderId="24" xfId="0" applyFont="1" applyFill="1" applyBorder="1" applyAlignment="1">
      <alignment horizontal="center" vertical="center"/>
    </xf>
    <xf numFmtId="0" fontId="78" fillId="0" borderId="24" xfId="0" applyFont="1" applyBorder="1" applyAlignment="1">
      <alignment horizontal="center" vertical="center" wrapText="1"/>
    </xf>
    <xf numFmtId="0" fontId="79" fillId="0" borderId="22" xfId="0" applyFont="1" applyBorder="1" applyAlignment="1">
      <alignment horizontal="center" vertical="top" wrapText="1"/>
    </xf>
    <xf numFmtId="0" fontId="78" fillId="0" borderId="22" xfId="0" applyFont="1" applyBorder="1" applyAlignment="1">
      <alignment horizontal="center"/>
    </xf>
    <xf numFmtId="0" fontId="78" fillId="0" borderId="22" xfId="0" applyFont="1" applyFill="1" applyBorder="1" applyAlignment="1">
      <alignment vertical="top"/>
    </xf>
    <xf numFmtId="0" fontId="78" fillId="0" borderId="24" xfId="0" applyFont="1" applyFill="1" applyBorder="1" applyAlignment="1">
      <alignment horizontal="center" vertical="center" wrapText="1"/>
    </xf>
    <xf numFmtId="0" fontId="79" fillId="0" borderId="22" xfId="0" applyFont="1" applyFill="1" applyBorder="1" applyAlignment="1">
      <alignment horizontal="center" vertical="top" wrapText="1"/>
    </xf>
    <xf numFmtId="0" fontId="79" fillId="0" borderId="24" xfId="0" applyFont="1" applyBorder="1" applyAlignment="1">
      <alignment horizontal="center" vertical="center" wrapText="1"/>
    </xf>
    <xf numFmtId="169" fontId="79" fillId="0" borderId="22" xfId="0" applyNumberFormat="1" applyFont="1" applyBorder="1" applyAlignment="1">
      <alignment horizontal="justify" vertical="top" wrapText="1"/>
    </xf>
    <xf numFmtId="0" fontId="79" fillId="0" borderId="22" xfId="0" applyFont="1" applyBorder="1" applyAlignment="1">
      <alignment horizontal="center" vertical="center" wrapText="1"/>
    </xf>
    <xf numFmtId="0" fontId="79" fillId="0" borderId="22" xfId="0" applyFont="1" applyBorder="1" applyAlignment="1">
      <alignment vertical="top" wrapText="1"/>
    </xf>
    <xf numFmtId="0" fontId="78" fillId="0" borderId="22" xfId="0" applyFont="1" applyBorder="1" applyAlignment="1">
      <alignment vertical="top" wrapText="1"/>
    </xf>
    <xf numFmtId="0" fontId="78" fillId="0" borderId="22" xfId="0" applyFont="1" applyBorder="1"/>
    <xf numFmtId="0" fontId="78" fillId="0" borderId="22" xfId="0" applyFont="1" applyBorder="1" applyAlignment="1">
      <alignment wrapText="1"/>
    </xf>
    <xf numFmtId="170" fontId="78" fillId="41" borderId="24" xfId="0" applyNumberFormat="1" applyFont="1" applyFill="1" applyBorder="1" applyAlignment="1">
      <alignment horizontal="center" vertical="top" wrapText="1"/>
    </xf>
    <xf numFmtId="170" fontId="78" fillId="41" borderId="22" xfId="0" applyNumberFormat="1" applyFont="1" applyFill="1" applyBorder="1" applyAlignment="1">
      <alignment horizontal="center" vertical="top" wrapText="1"/>
    </xf>
    <xf numFmtId="0" fontId="78" fillId="41" borderId="22" xfId="0" applyFont="1" applyFill="1" applyBorder="1" applyAlignment="1">
      <alignment horizontal="justify" vertical="top" wrapText="1"/>
    </xf>
    <xf numFmtId="2" fontId="78" fillId="41" borderId="22" xfId="0" applyNumberFormat="1" applyFont="1" applyFill="1" applyBorder="1" applyAlignment="1">
      <alignment horizontal="center" vertical="top" shrinkToFit="1"/>
    </xf>
    <xf numFmtId="170" fontId="78" fillId="41" borderId="0" xfId="0" applyNumberFormat="1" applyFont="1" applyFill="1" applyBorder="1" applyAlignment="1">
      <alignment horizontal="center" vertical="center" wrapText="1"/>
    </xf>
    <xf numFmtId="0" fontId="78" fillId="36" borderId="22" xfId="0" applyFont="1" applyFill="1" applyBorder="1" applyAlignment="1">
      <alignment horizontal="justify" vertical="top" wrapText="1"/>
    </xf>
    <xf numFmtId="0" fontId="78" fillId="36" borderId="24" xfId="0" applyFont="1" applyFill="1" applyBorder="1" applyAlignment="1">
      <alignment horizontal="center" vertical="center"/>
    </xf>
    <xf numFmtId="0" fontId="78" fillId="36" borderId="22" xfId="0" applyFont="1" applyFill="1" applyBorder="1" applyAlignment="1">
      <alignment horizontal="center" vertical="top" wrapText="1"/>
    </xf>
    <xf numFmtId="0" fontId="79" fillId="36" borderId="22" xfId="0" applyFont="1" applyFill="1" applyBorder="1" applyAlignment="1">
      <alignment horizontal="center" vertical="top" wrapText="1"/>
    </xf>
    <xf numFmtId="0" fontId="79" fillId="36" borderId="0" xfId="0" applyFont="1" applyFill="1" applyBorder="1"/>
    <xf numFmtId="0" fontId="79" fillId="0" borderId="22" xfId="0" applyFont="1" applyFill="1" applyBorder="1" applyAlignment="1">
      <alignment vertical="top" wrapText="1"/>
    </xf>
    <xf numFmtId="169" fontId="78" fillId="0" borderId="22" xfId="0" applyNumberFormat="1" applyFont="1" applyBorder="1" applyAlignment="1">
      <alignment horizontal="justify" vertical="top" wrapText="1"/>
    </xf>
    <xf numFmtId="169" fontId="79" fillId="0" borderId="22" xfId="77" applyNumberFormat="1" applyFont="1" applyBorder="1" applyAlignment="1">
      <alignment horizontal="justify" vertical="top" wrapText="1"/>
    </xf>
    <xf numFmtId="0" fontId="78" fillId="0" borderId="22" xfId="77" applyFont="1" applyBorder="1" applyAlignment="1">
      <alignment vertical="top" wrapText="1"/>
    </xf>
    <xf numFmtId="0" fontId="79" fillId="0" borderId="0" xfId="0" applyFont="1" applyBorder="1" applyAlignment="1">
      <alignment horizontal="center" vertical="top" wrapText="1"/>
    </xf>
    <xf numFmtId="0" fontId="79" fillId="0" borderId="0" xfId="0" applyFont="1" applyBorder="1" applyAlignment="1">
      <alignment horizontal="center" vertical="center"/>
    </xf>
    <xf numFmtId="0" fontId="79" fillId="0" borderId="0" xfId="0" applyFont="1" applyBorder="1" applyAlignment="1">
      <alignment horizontal="center" vertical="top"/>
    </xf>
    <xf numFmtId="0" fontId="78" fillId="0" borderId="0" xfId="82" applyFont="1" applyBorder="1" applyAlignment="1">
      <alignment horizontal="center" vertical="top"/>
    </xf>
    <xf numFmtId="0" fontId="79" fillId="0" borderId="0" xfId="0" applyFont="1" applyBorder="1" applyAlignment="1">
      <alignment horizontal="justify" vertical="top" wrapText="1"/>
    </xf>
    <xf numFmtId="0" fontId="84" fillId="0" borderId="0" xfId="0" applyFont="1" applyBorder="1"/>
    <xf numFmtId="0" fontId="80" fillId="0" borderId="0" xfId="0" applyFont="1" applyBorder="1"/>
    <xf numFmtId="171" fontId="79" fillId="0" borderId="22" xfId="0" applyNumberFormat="1" applyFont="1" applyFill="1" applyBorder="1" applyAlignment="1">
      <alignment horizontal="center" vertical="top" wrapText="1"/>
    </xf>
    <xf numFmtId="169" fontId="79" fillId="0" borderId="22" xfId="0" applyNumberFormat="1" applyFont="1" applyBorder="1" applyAlignment="1">
      <alignment horizontal="right" vertical="top" wrapText="1"/>
    </xf>
    <xf numFmtId="0" fontId="83" fillId="0" borderId="24" xfId="0" applyFont="1" applyBorder="1" applyAlignment="1">
      <alignment horizontal="center" vertical="center"/>
    </xf>
    <xf numFmtId="0" fontId="83" fillId="0" borderId="22" xfId="0" applyFont="1" applyFill="1" applyBorder="1" applyAlignment="1">
      <alignment horizontal="justify" vertical="top" wrapText="1"/>
    </xf>
    <xf numFmtId="0" fontId="84" fillId="0" borderId="22" xfId="0" applyFont="1" applyBorder="1" applyAlignment="1">
      <alignment horizontal="center" vertical="top" wrapText="1"/>
    </xf>
    <xf numFmtId="0" fontId="81" fillId="0" borderId="24" xfId="0" applyFont="1" applyBorder="1" applyAlignment="1">
      <alignment horizontal="center" vertical="center"/>
    </xf>
    <xf numFmtId="0" fontId="80" fillId="0" borderId="22" xfId="0" applyFont="1" applyFill="1" applyBorder="1" applyAlignment="1">
      <alignment horizontal="justify" vertical="top" wrapText="1"/>
    </xf>
    <xf numFmtId="0" fontId="80" fillId="0" borderId="22" xfId="0" applyFont="1" applyBorder="1" applyAlignment="1">
      <alignment horizontal="center" vertical="top" wrapText="1"/>
    </xf>
    <xf numFmtId="171" fontId="80" fillId="0" borderId="22" xfId="0" applyNumberFormat="1" applyFont="1" applyFill="1" applyBorder="1" applyAlignment="1">
      <alignment horizontal="center" vertical="top" wrapText="1"/>
    </xf>
    <xf numFmtId="169" fontId="80" fillId="0" borderId="22" xfId="0" applyNumberFormat="1" applyFont="1" applyBorder="1" applyAlignment="1">
      <alignment horizontal="right" vertical="top" wrapText="1"/>
    </xf>
    <xf numFmtId="169" fontId="81" fillId="0" borderId="23" xfId="0" applyNumberFormat="1" applyFont="1" applyBorder="1" applyAlignment="1">
      <alignment horizontal="right" vertical="top" wrapText="1"/>
    </xf>
    <xf numFmtId="169" fontId="79" fillId="0" borderId="22" xfId="0" applyNumberFormat="1" applyFont="1" applyBorder="1" applyAlignment="1">
      <alignment horizontal="right" vertical="top"/>
    </xf>
    <xf numFmtId="171" fontId="79" fillId="38" borderId="22" xfId="0" applyNumberFormat="1" applyFont="1" applyFill="1" applyBorder="1" applyAlignment="1">
      <alignment horizontal="center" vertical="top" wrapText="1"/>
    </xf>
    <xf numFmtId="169" fontId="79" fillId="0" borderId="22" xfId="0" applyNumberFormat="1" applyFont="1" applyFill="1" applyBorder="1" applyAlignment="1">
      <alignment horizontal="right" vertical="top" wrapText="1"/>
    </xf>
    <xf numFmtId="0" fontId="79" fillId="0" borderId="24" xfId="0" applyFont="1" applyBorder="1" applyAlignment="1">
      <alignment horizontal="center" vertical="top"/>
    </xf>
    <xf numFmtId="0" fontId="78" fillId="0" borderId="22" xfId="82" applyFont="1" applyBorder="1" applyAlignment="1">
      <alignment horizontal="right" vertical="top"/>
    </xf>
    <xf numFmtId="0" fontId="79" fillId="0" borderId="25" xfId="0" applyFont="1" applyBorder="1" applyAlignment="1">
      <alignment horizontal="center" vertical="top"/>
    </xf>
    <xf numFmtId="0" fontId="78" fillId="0" borderId="26" xfId="0" applyFont="1" applyBorder="1" applyAlignment="1">
      <alignment horizontal="center"/>
    </xf>
    <xf numFmtId="0" fontId="79" fillId="0" borderId="26" xfId="0" applyFont="1" applyBorder="1"/>
    <xf numFmtId="169" fontId="79" fillId="0" borderId="26" xfId="0" applyNumberFormat="1" applyFont="1" applyBorder="1" applyAlignment="1">
      <alignment horizontal="center" vertical="top" wrapText="1"/>
    </xf>
    <xf numFmtId="0" fontId="78" fillId="0" borderId="26" xfId="82" applyFont="1" applyBorder="1" applyAlignment="1">
      <alignment horizontal="right" vertical="top"/>
    </xf>
    <xf numFmtId="0" fontId="78" fillId="0" borderId="27" xfId="0" applyFont="1" applyBorder="1" applyAlignment="1">
      <alignment horizontal="center" vertical="top" wrapText="1"/>
    </xf>
    <xf numFmtId="170" fontId="78" fillId="0" borderId="28" xfId="0" applyNumberFormat="1" applyFont="1" applyBorder="1" applyAlignment="1">
      <alignment horizontal="center" vertical="top" wrapText="1"/>
    </xf>
    <xf numFmtId="0" fontId="78" fillId="0" borderId="28" xfId="0" applyFont="1" applyBorder="1" applyAlignment="1">
      <alignment horizontal="justify" vertical="top" wrapText="1"/>
    </xf>
    <xf numFmtId="0" fontId="79" fillId="0" borderId="28" xfId="0" applyFont="1" applyBorder="1" applyAlignment="1">
      <alignment horizontal="justify" vertical="top" shrinkToFit="1"/>
    </xf>
    <xf numFmtId="2" fontId="79" fillId="0" borderId="28" xfId="0" applyNumberFormat="1" applyFont="1" applyBorder="1" applyAlignment="1">
      <alignment horizontal="center" vertical="top" wrapText="1"/>
    </xf>
    <xf numFmtId="2" fontId="79" fillId="0" borderId="28" xfId="0" applyNumberFormat="1" applyFont="1" applyBorder="1" applyAlignment="1">
      <alignment horizontal="right" vertical="top" wrapText="1"/>
    </xf>
    <xf numFmtId="0" fontId="79" fillId="0" borderId="29" xfId="0" applyFont="1" applyBorder="1" applyAlignment="1">
      <alignment horizontal="right" vertical="top" wrapText="1"/>
    </xf>
    <xf numFmtId="0" fontId="78" fillId="0" borderId="8" xfId="0" applyFont="1" applyBorder="1" applyAlignment="1">
      <alignment horizontal="center" vertical="center" wrapText="1"/>
    </xf>
    <xf numFmtId="0" fontId="78" fillId="0" borderId="8" xfId="0" applyFont="1" applyBorder="1" applyAlignment="1">
      <alignment vertical="center" wrapText="1"/>
    </xf>
    <xf numFmtId="169" fontId="78" fillId="0" borderId="8" xfId="0" applyNumberFormat="1" applyFont="1" applyBorder="1" applyAlignment="1">
      <alignment horizontal="center" vertical="center" wrapText="1"/>
    </xf>
    <xf numFmtId="169" fontId="78" fillId="0" borderId="8" xfId="0" applyNumberFormat="1" applyFont="1" applyBorder="1" applyAlignment="1">
      <alignment horizontal="right" vertical="center" wrapText="1"/>
    </xf>
    <xf numFmtId="170" fontId="79" fillId="0" borderId="8" xfId="0" applyNumberFormat="1" applyFont="1" applyBorder="1" applyAlignment="1">
      <alignment horizontal="center" vertical="center" wrapText="1"/>
    </xf>
    <xf numFmtId="170" fontId="78" fillId="0" borderId="8" xfId="0" applyNumberFormat="1" applyFont="1" applyBorder="1" applyAlignment="1">
      <alignment horizontal="center" vertical="center" wrapText="1"/>
    </xf>
    <xf numFmtId="170" fontId="78" fillId="0" borderId="8" xfId="0" applyNumberFormat="1" applyFont="1" applyBorder="1" applyAlignment="1">
      <alignment horizontal="right" vertical="center" wrapText="1"/>
    </xf>
    <xf numFmtId="0" fontId="51" fillId="0" borderId="8" xfId="79" applyFont="1" applyBorder="1" applyAlignment="1">
      <alignment horizontal="center"/>
    </xf>
    <xf numFmtId="170" fontId="66" fillId="0" borderId="21" xfId="0" applyNumberFormat="1" applyFont="1" applyBorder="1" applyAlignment="1">
      <alignment horizontal="center" vertical="top" wrapText="1"/>
    </xf>
    <xf numFmtId="169" fontId="67" fillId="0" borderId="21" xfId="0" applyNumberFormat="1" applyFont="1" applyBorder="1" applyAlignment="1">
      <alignment horizontal="justify" vertical="top" wrapText="1"/>
    </xf>
    <xf numFmtId="169" fontId="66" fillId="0" borderId="21" xfId="0" applyNumberFormat="1" applyFont="1" applyBorder="1" applyAlignment="1">
      <alignment horizontal="center" vertical="top" wrapText="1"/>
    </xf>
    <xf numFmtId="171" fontId="9" fillId="0" borderId="21" xfId="0" applyNumberFormat="1" applyFont="1" applyBorder="1" applyAlignment="1">
      <alignment horizontal="center" vertical="top" wrapText="1"/>
    </xf>
    <xf numFmtId="169" fontId="68" fillId="0" borderId="21" xfId="0" applyNumberFormat="1" applyFont="1" applyBorder="1" applyAlignment="1">
      <alignment horizontal="justify" vertical="top" wrapText="1"/>
    </xf>
    <xf numFmtId="169" fontId="9" fillId="0" borderId="21" xfId="0" applyNumberFormat="1" applyFont="1" applyBorder="1" applyAlignment="1">
      <alignment horizontal="center" vertical="top" wrapText="1"/>
    </xf>
    <xf numFmtId="169" fontId="9" fillId="0" borderId="21" xfId="0" applyNumberFormat="1" applyFont="1" applyBorder="1" applyAlignment="1">
      <alignment horizontal="center" vertical="top"/>
    </xf>
    <xf numFmtId="169" fontId="9" fillId="0" borderId="21" xfId="0" applyNumberFormat="1" applyFont="1" applyBorder="1" applyAlignment="1">
      <alignment vertical="top" wrapText="1"/>
    </xf>
    <xf numFmtId="170" fontId="66" fillId="0" borderId="21" xfId="0" applyNumberFormat="1" applyFont="1" applyFill="1" applyBorder="1" applyAlignment="1">
      <alignment horizontal="center" vertical="top" wrapText="1"/>
    </xf>
    <xf numFmtId="169" fontId="9" fillId="0" borderId="21" xfId="0" applyNumberFormat="1" applyFont="1" applyFill="1" applyBorder="1" applyAlignment="1">
      <alignment horizontal="center" vertical="top" wrapText="1"/>
    </xf>
    <xf numFmtId="170" fontId="69" fillId="0" borderId="21" xfId="0" applyNumberFormat="1" applyFont="1" applyBorder="1" applyAlignment="1">
      <alignment horizontal="center" vertical="top" wrapText="1"/>
    </xf>
    <xf numFmtId="0" fontId="69" fillId="0" borderId="21" xfId="0" applyFont="1" applyBorder="1" applyAlignment="1">
      <alignment horizontal="center" vertical="top" wrapText="1"/>
    </xf>
    <xf numFmtId="169" fontId="72" fillId="0" borderId="21" xfId="0" applyNumberFormat="1" applyFont="1" applyBorder="1" applyAlignment="1">
      <alignment horizontal="justify" vertical="top" wrapText="1"/>
    </xf>
    <xf numFmtId="169" fontId="71" fillId="0" borderId="21" xfId="0" applyNumberFormat="1" applyFont="1" applyBorder="1" applyAlignment="1">
      <alignment horizontal="center" vertical="top"/>
    </xf>
    <xf numFmtId="171" fontId="71" fillId="0" borderId="21" xfId="0" applyNumberFormat="1" applyFont="1" applyBorder="1" applyAlignment="1">
      <alignment horizontal="center" vertical="top" wrapText="1"/>
    </xf>
    <xf numFmtId="169" fontId="70" fillId="0" borderId="21" xfId="0" applyNumberFormat="1" applyFont="1" applyBorder="1" applyAlignment="1">
      <alignment horizontal="justify" vertical="top" wrapText="1"/>
    </xf>
    <xf numFmtId="170" fontId="79" fillId="0" borderId="0" xfId="0" applyNumberFormat="1" applyFont="1" applyBorder="1" applyAlignment="1">
      <alignment horizontal="center" vertical="center"/>
    </xf>
    <xf numFmtId="169" fontId="79" fillId="0" borderId="22" xfId="0" applyNumberFormat="1" applyFont="1" applyBorder="1" applyAlignment="1">
      <alignment vertical="top" wrapText="1"/>
    </xf>
    <xf numFmtId="0" fontId="79" fillId="0" borderId="22" xfId="0" applyFont="1" applyFill="1" applyBorder="1" applyAlignment="1">
      <alignment vertical="top"/>
    </xf>
    <xf numFmtId="176" fontId="79" fillId="41" borderId="22" xfId="0" applyNumberFormat="1" applyFont="1" applyFill="1" applyBorder="1" applyAlignment="1">
      <alignment horizontal="center" vertical="top" wrapText="1"/>
    </xf>
    <xf numFmtId="169" fontId="78" fillId="0" borderId="23" xfId="0" applyNumberFormat="1" applyFont="1" applyBorder="1" applyAlignment="1">
      <alignment horizontal="right" vertical="center" wrapText="1" indent="1"/>
    </xf>
    <xf numFmtId="175" fontId="79" fillId="0" borderId="22" xfId="0" applyNumberFormat="1" applyFont="1" applyBorder="1" applyAlignment="1">
      <alignment horizontal="right" vertical="top" wrapText="1"/>
    </xf>
    <xf numFmtId="178" fontId="66" fillId="0" borderId="21" xfId="0" applyNumberFormat="1" applyFont="1" applyFill="1" applyBorder="1" applyAlignment="1">
      <alignment horizontal="center" vertical="top" wrapText="1"/>
    </xf>
    <xf numFmtId="175" fontId="78" fillId="0" borderId="22" xfId="90" applyNumberFormat="1" applyFont="1" applyFill="1" applyBorder="1" applyAlignment="1">
      <alignment horizontal="right" vertical="top" wrapText="1"/>
    </xf>
    <xf numFmtId="175" fontId="79" fillId="0" borderId="22" xfId="90" applyNumberFormat="1" applyFont="1" applyFill="1" applyBorder="1" applyAlignment="1">
      <alignment horizontal="right" vertical="top" wrapText="1"/>
    </xf>
    <xf numFmtId="175" fontId="79" fillId="0" borderId="22" xfId="90" applyNumberFormat="1" applyFont="1" applyFill="1" applyBorder="1" applyAlignment="1">
      <alignment horizontal="center" vertical="top" wrapText="1"/>
    </xf>
    <xf numFmtId="174" fontId="79" fillId="0" borderId="22" xfId="90" applyNumberFormat="1" applyFont="1" applyFill="1" applyBorder="1" applyAlignment="1">
      <alignment horizontal="center" vertical="top" wrapText="1"/>
    </xf>
    <xf numFmtId="175" fontId="79" fillId="0" borderId="22" xfId="0" applyNumberFormat="1" applyFont="1" applyBorder="1" applyAlignment="1">
      <alignment horizontal="center" vertical="top" wrapText="1"/>
    </xf>
    <xf numFmtId="0" fontId="79" fillId="41" borderId="22" xfId="0" applyFont="1" applyFill="1" applyBorder="1" applyAlignment="1">
      <alignment horizontal="justify" vertical="top" wrapText="1"/>
    </xf>
    <xf numFmtId="169" fontId="79" fillId="42" borderId="23" xfId="0" applyNumberFormat="1" applyFont="1" applyFill="1" applyBorder="1" applyAlignment="1">
      <alignment horizontal="right" vertical="top" wrapText="1"/>
    </xf>
    <xf numFmtId="169" fontId="79" fillId="43" borderId="23" xfId="0" applyNumberFormat="1" applyFont="1" applyFill="1" applyBorder="1" applyAlignment="1">
      <alignment horizontal="right" vertical="top" wrapText="1"/>
    </xf>
    <xf numFmtId="170" fontId="78" fillId="0" borderId="0" xfId="0" applyNumberFormat="1" applyFont="1" applyBorder="1" applyAlignment="1">
      <alignment horizontal="right" vertical="center" wrapText="1"/>
    </xf>
    <xf numFmtId="0" fontId="92" fillId="0" borderId="24" xfId="0" applyFont="1" applyFill="1" applyBorder="1" applyAlignment="1">
      <alignment horizontal="center" vertical="center" wrapText="1"/>
    </xf>
    <xf numFmtId="169" fontId="78" fillId="0" borderId="0" xfId="0" applyNumberFormat="1" applyFont="1" applyFill="1" applyBorder="1" applyAlignment="1">
      <alignment horizontal="right" vertical="top" wrapText="1"/>
    </xf>
    <xf numFmtId="169" fontId="79" fillId="0" borderId="0" xfId="0" applyNumberFormat="1" applyFont="1" applyFill="1" applyBorder="1" applyAlignment="1">
      <alignment horizontal="right" vertical="top" wrapText="1"/>
    </xf>
    <xf numFmtId="0" fontId="79" fillId="0" borderId="0" xfId="0" applyFont="1" applyBorder="1" applyAlignment="1">
      <alignment horizontal="left" vertical="top"/>
    </xf>
    <xf numFmtId="0" fontId="78" fillId="0" borderId="0" xfId="0" applyFont="1" applyBorder="1" applyAlignment="1">
      <alignment horizontal="left" vertical="top"/>
    </xf>
    <xf numFmtId="169" fontId="79" fillId="0" borderId="0" xfId="0" applyNumberFormat="1" applyFont="1" applyBorder="1" applyAlignment="1">
      <alignment horizontal="left" vertical="top"/>
    </xf>
    <xf numFmtId="0" fontId="0" fillId="0" borderId="0" xfId="0" applyAlignment="1">
      <alignment wrapText="1"/>
    </xf>
    <xf numFmtId="0" fontId="0" fillId="0" borderId="0" xfId="0" applyAlignment="1">
      <alignment horizontal="center" wrapText="1"/>
    </xf>
    <xf numFmtId="0" fontId="10" fillId="0" borderId="22" xfId="66" applyFont="1" applyBorder="1" applyAlignment="1">
      <alignment vertical="top"/>
    </xf>
    <xf numFmtId="0" fontId="7" fillId="0" borderId="22" xfId="66" applyFont="1" applyBorder="1" applyAlignment="1">
      <alignment vertical="top" wrapText="1"/>
    </xf>
    <xf numFmtId="0" fontId="7" fillId="0" borderId="22" xfId="66" applyFont="1" applyBorder="1" applyAlignment="1">
      <alignment vertical="top"/>
    </xf>
    <xf numFmtId="2" fontId="7" fillId="0" borderId="22" xfId="66" applyNumberFormat="1" applyFont="1" applyBorder="1" applyAlignment="1">
      <alignment vertical="top"/>
    </xf>
    <xf numFmtId="0" fontId="10" fillId="0" borderId="30" xfId="66" applyFont="1" applyBorder="1" applyAlignment="1">
      <alignment horizontal="center" vertical="top"/>
    </xf>
    <xf numFmtId="0" fontId="7" fillId="0" borderId="0" xfId="66" applyAlignment="1"/>
    <xf numFmtId="0" fontId="7" fillId="0" borderId="22" xfId="66" applyFont="1" applyBorder="1" applyAlignment="1">
      <alignment horizontal="center" vertical="top"/>
    </xf>
    <xf numFmtId="2" fontId="10" fillId="0" borderId="22" xfId="66" applyNumberFormat="1" applyFont="1" applyBorder="1" applyAlignment="1">
      <alignment vertical="top"/>
    </xf>
    <xf numFmtId="2" fontId="10" fillId="0" borderId="31" xfId="66" applyNumberFormat="1" applyFont="1" applyBorder="1" applyAlignment="1">
      <alignment vertical="top"/>
    </xf>
    <xf numFmtId="0" fontId="7" fillId="0" borderId="0" xfId="66" applyAlignment="1">
      <alignment vertical="top"/>
    </xf>
    <xf numFmtId="167" fontId="10" fillId="0" borderId="22" xfId="66" applyNumberFormat="1" applyFont="1" applyBorder="1" applyAlignment="1">
      <alignment vertical="top"/>
    </xf>
    <xf numFmtId="167" fontId="10" fillId="0" borderId="31" xfId="66" applyNumberFormat="1" applyFont="1" applyBorder="1" applyAlignment="1">
      <alignment vertical="top"/>
    </xf>
    <xf numFmtId="167" fontId="95" fillId="0" borderId="31" xfId="66" applyNumberFormat="1" applyFont="1" applyBorder="1" applyAlignment="1">
      <alignment vertical="top"/>
    </xf>
    <xf numFmtId="0" fontId="10" fillId="0" borderId="32" xfId="66" applyFont="1" applyBorder="1" applyAlignment="1">
      <alignment vertical="center" wrapText="1"/>
    </xf>
    <xf numFmtId="0" fontId="10" fillId="0" borderId="31" xfId="66" applyFont="1" applyBorder="1" applyAlignment="1">
      <alignment vertical="center" wrapText="1"/>
    </xf>
    <xf numFmtId="0" fontId="10" fillId="0" borderId="22" xfId="66" applyFont="1" applyBorder="1" applyAlignment="1">
      <alignment horizontal="center" vertical="center" wrapText="1"/>
    </xf>
    <xf numFmtId="0" fontId="10" fillId="0" borderId="22" xfId="66" applyFont="1" applyBorder="1" applyAlignment="1">
      <alignment horizontal="center" vertical="center"/>
    </xf>
    <xf numFmtId="0" fontId="10" fillId="0" borderId="33" xfId="66" applyFont="1" applyBorder="1" applyAlignment="1">
      <alignment horizontal="center" vertical="center"/>
    </xf>
    <xf numFmtId="0" fontId="10" fillId="0" borderId="31" xfId="66" applyFont="1" applyBorder="1" applyAlignment="1">
      <alignment horizontal="center" vertical="center"/>
    </xf>
    <xf numFmtId="0" fontId="7" fillId="0" borderId="22" xfId="80" applyNumberFormat="1" applyFont="1" applyBorder="1" applyAlignment="1">
      <alignment horizontal="justify" vertical="top" wrapText="1"/>
    </xf>
    <xf numFmtId="0" fontId="10" fillId="0" borderId="22" xfId="66" applyFont="1" applyBorder="1" applyAlignment="1">
      <alignment vertical="center"/>
    </xf>
    <xf numFmtId="0" fontId="10" fillId="0" borderId="31" xfId="66" applyFont="1" applyBorder="1" applyAlignment="1">
      <alignment vertical="center"/>
    </xf>
    <xf numFmtId="2" fontId="7" fillId="0" borderId="22" xfId="66" applyNumberFormat="1" applyFont="1" applyBorder="1" applyAlignment="1">
      <alignment vertical="center"/>
    </xf>
    <xf numFmtId="2" fontId="7" fillId="0" borderId="31" xfId="66" applyNumberFormat="1" applyFont="1" applyBorder="1" applyAlignment="1">
      <alignment vertical="top"/>
    </xf>
    <xf numFmtId="0" fontId="10" fillId="0" borderId="22" xfId="80" applyNumberFormat="1" applyFont="1" applyBorder="1" applyAlignment="1">
      <alignment vertical="top" wrapText="1"/>
    </xf>
    <xf numFmtId="0" fontId="10" fillId="0" borderId="31" xfId="80" applyNumberFormat="1" applyFont="1" applyBorder="1" applyAlignment="1">
      <alignment vertical="top" wrapText="1"/>
    </xf>
    <xf numFmtId="167" fontId="7" fillId="0" borderId="22" xfId="66" applyNumberFormat="1" applyFont="1" applyBorder="1" applyAlignment="1">
      <alignment vertical="top"/>
    </xf>
    <xf numFmtId="0" fontId="94" fillId="0" borderId="22" xfId="66" applyFont="1" applyBorder="1" applyAlignment="1">
      <alignment horizontal="center" vertical="top"/>
    </xf>
    <xf numFmtId="0" fontId="7" fillId="0" borderId="22" xfId="80" applyNumberFormat="1" applyFont="1" applyBorder="1" applyAlignment="1">
      <alignment vertical="top" wrapText="1"/>
    </xf>
    <xf numFmtId="167" fontId="10" fillId="0" borderId="22" xfId="80" applyNumberFormat="1" applyFont="1" applyBorder="1" applyAlignment="1">
      <alignment vertical="top" wrapText="1"/>
    </xf>
    <xf numFmtId="0" fontId="7" fillId="0" borderId="31" xfId="66" applyFont="1" applyBorder="1" applyAlignment="1">
      <alignment vertical="top"/>
    </xf>
    <xf numFmtId="2" fontId="7" fillId="0" borderId="0" xfId="66" applyNumberFormat="1" applyAlignment="1">
      <alignment vertical="top"/>
    </xf>
    <xf numFmtId="176" fontId="7" fillId="0" borderId="22" xfId="66" applyNumberFormat="1" applyFont="1" applyBorder="1" applyAlignment="1">
      <alignment vertical="top"/>
    </xf>
    <xf numFmtId="0" fontId="7" fillId="0" borderId="31" xfId="66" applyFont="1" applyBorder="1" applyAlignment="1">
      <alignment horizontal="center" vertical="center" wrapText="1"/>
    </xf>
    <xf numFmtId="2" fontId="10" fillId="0" borderId="0" xfId="66" applyNumberFormat="1" applyFont="1" applyAlignment="1">
      <alignment vertical="top"/>
    </xf>
    <xf numFmtId="1" fontId="7" fillId="0" borderId="22" xfId="66" applyNumberFormat="1" applyFont="1" applyBorder="1" applyAlignment="1">
      <alignment vertical="top"/>
    </xf>
    <xf numFmtId="2" fontId="7" fillId="0" borderId="31" xfId="80" applyNumberFormat="1" applyFont="1" applyBorder="1" applyAlignment="1">
      <alignment vertical="top" wrapText="1"/>
    </xf>
    <xf numFmtId="2" fontId="10" fillId="44" borderId="22" xfId="66" applyNumberFormat="1" applyFont="1" applyFill="1" applyBorder="1" applyAlignment="1">
      <alignment vertical="top"/>
    </xf>
    <xf numFmtId="0" fontId="7" fillId="41" borderId="30" xfId="66" applyFont="1" applyFill="1" applyBorder="1" applyAlignment="1">
      <alignment horizontal="center" vertical="top"/>
    </xf>
    <xf numFmtId="0" fontId="7" fillId="41" borderId="33" xfId="66" applyFont="1" applyFill="1" applyBorder="1" applyAlignment="1">
      <alignment vertical="top" wrapText="1"/>
    </xf>
    <xf numFmtId="0" fontId="7" fillId="41" borderId="32" xfId="66" applyFont="1" applyFill="1" applyBorder="1" applyAlignment="1">
      <alignment vertical="top" wrapText="1"/>
    </xf>
    <xf numFmtId="0" fontId="7" fillId="41" borderId="32" xfId="66" applyFont="1" applyFill="1" applyBorder="1" applyAlignment="1">
      <alignment vertical="top"/>
    </xf>
    <xf numFmtId="2" fontId="10" fillId="41" borderId="32" xfId="66" applyNumberFormat="1" applyFont="1" applyFill="1" applyBorder="1" applyAlignment="1">
      <alignment vertical="top"/>
    </xf>
    <xf numFmtId="2" fontId="10" fillId="41" borderId="31" xfId="66" applyNumberFormat="1" applyFont="1" applyFill="1" applyBorder="1" applyAlignment="1">
      <alignment vertical="top"/>
    </xf>
    <xf numFmtId="0" fontId="7" fillId="41" borderId="0" xfId="66" applyFill="1" applyAlignment="1">
      <alignment vertical="top"/>
    </xf>
    <xf numFmtId="0" fontId="94" fillId="0" borderId="22" xfId="66" applyFont="1" applyBorder="1" applyAlignment="1">
      <alignment vertical="top"/>
    </xf>
    <xf numFmtId="0" fontId="7" fillId="0" borderId="0" xfId="66" applyAlignment="1">
      <alignment horizontal="center" vertical="top"/>
    </xf>
    <xf numFmtId="1" fontId="97" fillId="0" borderId="8" xfId="0" applyNumberFormat="1" applyFont="1" applyFill="1" applyBorder="1" applyAlignment="1">
      <alignment horizontal="center" vertical="center" wrapText="1"/>
    </xf>
    <xf numFmtId="169" fontId="79" fillId="0" borderId="8" xfId="0" applyNumberFormat="1" applyFont="1" applyFill="1" applyBorder="1" applyAlignment="1">
      <alignment horizontal="center" vertical="top" wrapText="1"/>
    </xf>
    <xf numFmtId="2" fontId="97" fillId="0" borderId="8" xfId="0" applyNumberFormat="1" applyFont="1" applyFill="1" applyBorder="1" applyAlignment="1">
      <alignment horizontal="center"/>
    </xf>
    <xf numFmtId="1" fontId="44" fillId="0" borderId="8" xfId="0" applyNumberFormat="1" applyFont="1" applyFill="1" applyBorder="1" applyAlignment="1">
      <alignment horizontal="center" vertical="center"/>
    </xf>
    <xf numFmtId="168" fontId="57" fillId="0" borderId="8" xfId="82" applyNumberFormat="1" applyFont="1" applyFill="1" applyBorder="1" applyAlignment="1">
      <alignment horizontal="center" vertical="top" wrapText="1"/>
    </xf>
    <xf numFmtId="168" fontId="57" fillId="0" borderId="8" xfId="82" applyNumberFormat="1" applyFont="1" applyFill="1" applyBorder="1" applyAlignment="1">
      <alignment horizontal="centerContinuous" vertical="top" wrapText="1"/>
    </xf>
    <xf numFmtId="0" fontId="57" fillId="0" borderId="8" xfId="82" applyFont="1" applyFill="1" applyBorder="1" applyAlignment="1">
      <alignment horizontal="center" vertical="center"/>
    </xf>
    <xf numFmtId="0" fontId="57" fillId="0" borderId="8" xfId="82" applyFont="1" applyFill="1" applyBorder="1" applyAlignment="1">
      <alignment vertical="center" shrinkToFit="1"/>
    </xf>
    <xf numFmtId="0" fontId="57" fillId="0" borderId="8" xfId="82" applyFont="1" applyFill="1" applyBorder="1" applyAlignment="1">
      <alignment horizontal="center" vertical="center" shrinkToFit="1"/>
    </xf>
    <xf numFmtId="0" fontId="57" fillId="0" borderId="8" xfId="82" applyFont="1" applyFill="1" applyBorder="1" applyAlignment="1">
      <alignment horizontal="left" vertical="center" shrinkToFit="1"/>
    </xf>
    <xf numFmtId="2" fontId="57" fillId="0" borderId="8" xfId="82" applyNumberFormat="1" applyFont="1" applyFill="1" applyBorder="1" applyAlignment="1">
      <alignment horizontal="center" vertical="center" shrinkToFit="1"/>
    </xf>
    <xf numFmtId="2" fontId="57" fillId="0" borderId="8" xfId="82" applyNumberFormat="1" applyFont="1" applyFill="1" applyBorder="1" applyAlignment="1">
      <alignment horizontal="right" vertical="center" shrinkToFit="1"/>
    </xf>
    <xf numFmtId="2" fontId="51" fillId="0" borderId="8" xfId="82" applyNumberFormat="1" applyFont="1" applyFill="1" applyBorder="1" applyAlignment="1">
      <alignment horizontal="center" vertical="center" shrinkToFit="1"/>
    </xf>
    <xf numFmtId="0" fontId="51" fillId="0" borderId="8" xfId="82" applyFont="1" applyFill="1" applyBorder="1" applyAlignment="1">
      <alignment horizontal="center" vertical="center"/>
    </xf>
    <xf numFmtId="0" fontId="51" fillId="0" borderId="8" xfId="82" applyFont="1" applyFill="1" applyBorder="1" applyAlignment="1">
      <alignment horizontal="left" vertical="center" shrinkToFit="1"/>
    </xf>
    <xf numFmtId="0" fontId="51" fillId="0" borderId="8" xfId="82" applyFont="1" applyFill="1" applyBorder="1" applyAlignment="1">
      <alignment horizontal="center" vertical="center" shrinkToFit="1"/>
    </xf>
    <xf numFmtId="0" fontId="57" fillId="0" borderId="8" xfId="82" applyFont="1" applyFill="1" applyBorder="1" applyAlignment="1">
      <alignment vertical="center" wrapText="1" shrinkToFit="1"/>
    </xf>
    <xf numFmtId="0" fontId="57" fillId="0" borderId="8" xfId="82" applyFont="1" applyFill="1" applyBorder="1" applyAlignment="1">
      <alignment vertical="center" wrapText="1"/>
    </xf>
    <xf numFmtId="0" fontId="51" fillId="0" borderId="8" xfId="82" applyFont="1" applyFill="1" applyBorder="1" applyAlignment="1">
      <alignment horizontal="center" vertical="center" wrapText="1" shrinkToFit="1"/>
    </xf>
    <xf numFmtId="0" fontId="51" fillId="0" borderId="8" xfId="82" applyFont="1" applyFill="1" applyBorder="1" applyAlignment="1">
      <alignment vertical="top" shrinkToFit="1"/>
    </xf>
    <xf numFmtId="0" fontId="51" fillId="0" borderId="8" xfId="82" applyFont="1" applyFill="1" applyBorder="1" applyAlignment="1">
      <alignment horizontal="center" vertical="top"/>
    </xf>
    <xf numFmtId="9" fontId="51" fillId="0" borderId="8" xfId="82" applyNumberFormat="1" applyFont="1" applyFill="1" applyBorder="1" applyAlignment="1">
      <alignment horizontal="center" vertical="top"/>
    </xf>
    <xf numFmtId="2" fontId="51" fillId="0" borderId="8" xfId="82" applyNumberFormat="1" applyFont="1" applyFill="1" applyBorder="1" applyAlignment="1">
      <alignment vertical="top"/>
    </xf>
    <xf numFmtId="169" fontId="51" fillId="0" borderId="8" xfId="0" applyNumberFormat="1" applyFont="1" applyFill="1" applyBorder="1" applyAlignment="1">
      <alignment vertical="top" wrapText="1"/>
    </xf>
    <xf numFmtId="0" fontId="51" fillId="0" borderId="8" xfId="82" applyFont="1" applyFill="1" applyBorder="1" applyAlignment="1">
      <alignment vertical="top"/>
    </xf>
    <xf numFmtId="169" fontId="51" fillId="0" borderId="8" xfId="0" applyNumberFormat="1" applyFont="1" applyFill="1" applyBorder="1" applyAlignment="1">
      <alignment vertical="top"/>
    </xf>
    <xf numFmtId="169" fontId="53" fillId="0" borderId="8" xfId="0" applyNumberFormat="1" applyFont="1" applyFill="1" applyBorder="1" applyAlignment="1">
      <alignment vertical="top"/>
    </xf>
    <xf numFmtId="177" fontId="51" fillId="0" borderId="8" xfId="82" applyNumberFormat="1" applyFont="1" applyFill="1" applyBorder="1" applyAlignment="1">
      <alignment horizontal="center" vertical="top"/>
    </xf>
    <xf numFmtId="0" fontId="51" fillId="0" borderId="8" xfId="82" applyFont="1" applyFill="1" applyBorder="1"/>
    <xf numFmtId="0" fontId="88" fillId="0" borderId="8" xfId="82" applyFont="1" applyFill="1" applyBorder="1" applyAlignment="1">
      <alignment horizontal="center" vertical="center"/>
    </xf>
    <xf numFmtId="0" fontId="61" fillId="0" borderId="8" xfId="82" applyFont="1" applyFill="1" applyBorder="1" applyAlignment="1">
      <alignment horizontal="center" vertical="center"/>
    </xf>
    <xf numFmtId="0" fontId="60" fillId="0" borderId="8" xfId="82" applyFont="1" applyFill="1" applyBorder="1" applyAlignment="1">
      <alignment horizontal="center" vertical="center"/>
    </xf>
    <xf numFmtId="0" fontId="51" fillId="0" borderId="8" xfId="82" applyFont="1" applyFill="1" applyBorder="1" applyAlignment="1">
      <alignment horizontal="center"/>
    </xf>
    <xf numFmtId="0" fontId="62" fillId="0" borderId="8" xfId="82" applyFont="1" applyFill="1" applyBorder="1" applyAlignment="1">
      <alignment horizontal="centerContinuous" vertical="center"/>
    </xf>
    <xf numFmtId="0" fontId="51" fillId="0" borderId="8" xfId="82" applyFont="1" applyFill="1" applyBorder="1" applyAlignment="1">
      <alignment horizontal="centerContinuous" vertical="center"/>
    </xf>
    <xf numFmtId="0" fontId="57" fillId="0" borderId="8" xfId="82" applyFont="1" applyFill="1" applyBorder="1" applyAlignment="1">
      <alignment horizontal="center" vertical="top" wrapText="1"/>
    </xf>
    <xf numFmtId="0" fontId="57" fillId="0" borderId="8" xfId="82" applyFont="1" applyFill="1" applyBorder="1"/>
    <xf numFmtId="0" fontId="52" fillId="0" borderId="8" xfId="82" applyFont="1" applyFill="1" applyBorder="1" applyAlignment="1">
      <alignment horizontal="center" vertical="top"/>
    </xf>
    <xf numFmtId="0" fontId="52" fillId="0" borderId="8" xfId="82" applyFont="1" applyFill="1" applyBorder="1" applyAlignment="1">
      <alignment vertical="top"/>
    </xf>
    <xf numFmtId="0" fontId="68" fillId="0" borderId="8" xfId="0" applyFont="1" applyFill="1" applyBorder="1" applyAlignment="1"/>
    <xf numFmtId="0" fontId="7" fillId="0" borderId="8" xfId="0" applyFont="1" applyFill="1" applyBorder="1" applyAlignment="1"/>
    <xf numFmtId="0" fontId="7" fillId="0" borderId="8" xfId="0" applyFont="1" applyFill="1" applyBorder="1" applyAlignment="1">
      <alignment horizontal="center"/>
    </xf>
    <xf numFmtId="1" fontId="98" fillId="0" borderId="8" xfId="0" applyNumberFormat="1" applyFont="1" applyFill="1" applyBorder="1" applyAlignment="1">
      <alignment horizontal="center" vertical="top"/>
    </xf>
    <xf numFmtId="2" fontId="99" fillId="0" borderId="8" xfId="0" applyNumberFormat="1" applyFont="1" applyFill="1" applyBorder="1" applyAlignment="1">
      <alignment horizontal="center" vertical="top"/>
    </xf>
    <xf numFmtId="0" fontId="78" fillId="0" borderId="8" xfId="0" applyFont="1" applyFill="1" applyBorder="1" applyAlignment="1">
      <alignment vertical="center" wrapText="1"/>
    </xf>
    <xf numFmtId="169" fontId="78" fillId="0" borderId="8" xfId="0" applyNumberFormat="1" applyFont="1" applyFill="1" applyBorder="1" applyAlignment="1">
      <alignment horizontal="center" vertical="center" wrapText="1"/>
    </xf>
    <xf numFmtId="170" fontId="79" fillId="0" borderId="8" xfId="0" applyNumberFormat="1" applyFont="1" applyFill="1" applyBorder="1" applyAlignment="1">
      <alignment horizontal="center" vertical="center" wrapText="1"/>
    </xf>
    <xf numFmtId="170" fontId="78" fillId="0" borderId="8" xfId="0" applyNumberFormat="1" applyFont="1" applyFill="1" applyBorder="1" applyAlignment="1">
      <alignment horizontal="center" vertical="center" wrapText="1"/>
    </xf>
    <xf numFmtId="0" fontId="79" fillId="0" borderId="8" xfId="0" applyFont="1" applyFill="1" applyBorder="1" applyAlignment="1">
      <alignment horizontal="center" vertical="center"/>
    </xf>
    <xf numFmtId="170" fontId="78" fillId="0" borderId="8" xfId="0" applyNumberFormat="1" applyFont="1" applyFill="1" applyBorder="1" applyAlignment="1">
      <alignment horizontal="center" vertical="top" wrapText="1"/>
    </xf>
    <xf numFmtId="2" fontId="79" fillId="0" borderId="8" xfId="0" applyNumberFormat="1" applyFont="1" applyFill="1" applyBorder="1" applyAlignment="1">
      <alignment horizontal="center" vertical="top" wrapText="1"/>
    </xf>
    <xf numFmtId="2" fontId="78" fillId="0" borderId="8" xfId="0" applyNumberFormat="1" applyFont="1" applyFill="1" applyBorder="1" applyAlignment="1">
      <alignment horizontal="center" vertical="top" shrinkToFit="1"/>
    </xf>
    <xf numFmtId="0" fontId="79" fillId="0" borderId="8" xfId="0" applyFont="1" applyFill="1" applyBorder="1"/>
    <xf numFmtId="0" fontId="78" fillId="0" borderId="8" xfId="0" applyFont="1" applyFill="1" applyBorder="1" applyAlignment="1">
      <alignment horizontal="center" vertical="center" wrapText="1"/>
    </xf>
    <xf numFmtId="0" fontId="101" fillId="0" borderId="8" xfId="0" applyFont="1" applyFill="1" applyBorder="1" applyAlignment="1">
      <alignment horizontal="center" vertical="top" wrapText="1"/>
    </xf>
    <xf numFmtId="1" fontId="101" fillId="0" borderId="8" xfId="0" applyNumberFormat="1" applyFont="1" applyFill="1" applyBorder="1" applyAlignment="1">
      <alignment horizontal="center" vertical="center"/>
    </xf>
    <xf numFmtId="2" fontId="101" fillId="0" borderId="8" xfId="0" applyNumberFormat="1" applyFont="1" applyFill="1" applyBorder="1" applyAlignment="1">
      <alignment horizontal="center" vertical="center"/>
    </xf>
    <xf numFmtId="2" fontId="102" fillId="0" borderId="8" xfId="0" applyNumberFormat="1" applyFont="1" applyFill="1" applyBorder="1" applyAlignment="1">
      <alignment horizontal="center" vertical="center" shrinkToFit="1"/>
    </xf>
    <xf numFmtId="2" fontId="102" fillId="0" borderId="8" xfId="0" applyNumberFormat="1" applyFont="1" applyFill="1" applyBorder="1" applyAlignment="1">
      <alignment horizontal="center" vertical="center"/>
    </xf>
    <xf numFmtId="0" fontId="79" fillId="0" borderId="8" xfId="0" applyFont="1" applyFill="1" applyBorder="1" applyAlignment="1">
      <alignment horizontal="center" vertical="center" wrapText="1"/>
    </xf>
    <xf numFmtId="0" fontId="78" fillId="0" borderId="8" xfId="0" applyFont="1" applyFill="1" applyBorder="1"/>
    <xf numFmtId="0" fontId="53" fillId="0" borderId="8" xfId="82" applyFont="1" applyFill="1" applyBorder="1"/>
    <xf numFmtId="2" fontId="79" fillId="0" borderId="8" xfId="0" applyNumberFormat="1" applyFont="1" applyFill="1" applyBorder="1" applyAlignment="1">
      <alignment horizontal="center" vertical="center" wrapText="1"/>
    </xf>
    <xf numFmtId="0" fontId="103" fillId="0" borderId="8" xfId="82" applyFont="1" applyFill="1" applyBorder="1" applyAlignment="1">
      <alignment horizontal="center" vertical="center" wrapText="1"/>
    </xf>
    <xf numFmtId="0" fontId="103" fillId="0" borderId="8" xfId="0" applyFont="1" applyFill="1" applyBorder="1" applyAlignment="1">
      <alignment horizontal="center" vertical="center" wrapText="1"/>
    </xf>
    <xf numFmtId="0" fontId="104" fillId="0" borderId="8" xfId="82" applyFont="1" applyFill="1" applyBorder="1" applyAlignment="1">
      <alignment horizontal="center" vertical="center" wrapText="1"/>
    </xf>
    <xf numFmtId="0" fontId="103" fillId="0" borderId="8" xfId="82" applyFont="1" applyFill="1" applyBorder="1"/>
    <xf numFmtId="0" fontId="7" fillId="0" borderId="8" xfId="0" applyFont="1" applyFill="1" applyBorder="1"/>
    <xf numFmtId="0" fontId="101" fillId="0" borderId="8" xfId="0" applyFont="1" applyFill="1" applyBorder="1" applyAlignment="1">
      <alignment horizontal="center"/>
    </xf>
    <xf numFmtId="0" fontId="11" fillId="0" borderId="22" xfId="0" applyFont="1" applyBorder="1" applyAlignment="1">
      <alignment horizontal="center" wrapText="1"/>
    </xf>
    <xf numFmtId="2" fontId="11" fillId="0" borderId="22" xfId="0" applyNumberFormat="1" applyFont="1" applyBorder="1" applyAlignment="1">
      <alignment horizontal="right" wrapText="1"/>
    </xf>
    <xf numFmtId="0" fontId="62" fillId="0" borderId="8" xfId="82" applyFont="1" applyFill="1" applyBorder="1" applyAlignment="1">
      <alignment horizontal="center" vertical="center"/>
    </xf>
    <xf numFmtId="0" fontId="77" fillId="0" borderId="8" xfId="82" applyFont="1" applyFill="1" applyBorder="1" applyAlignment="1">
      <alignment horizontal="center" vertical="center" shrinkToFit="1"/>
    </xf>
    <xf numFmtId="2" fontId="77" fillId="0" borderId="8" xfId="82" applyNumberFormat="1" applyFont="1" applyFill="1" applyBorder="1" applyAlignment="1">
      <alignment horizontal="center" vertical="center" shrinkToFit="1"/>
    </xf>
    <xf numFmtId="0" fontId="78" fillId="0" borderId="0" xfId="0" applyFont="1" applyFill="1" applyBorder="1" applyAlignment="1">
      <alignment horizontal="center" vertical="top" wrapText="1"/>
    </xf>
    <xf numFmtId="0" fontId="78" fillId="0" borderId="0" xfId="0" applyFont="1" applyFill="1" applyBorder="1" applyAlignment="1">
      <alignment horizontal="center" vertical="center" wrapText="1"/>
    </xf>
    <xf numFmtId="0" fontId="78" fillId="0" borderId="0" xfId="0" applyFont="1" applyFill="1" applyBorder="1" applyAlignment="1">
      <alignment horizontal="center"/>
    </xf>
    <xf numFmtId="169" fontId="78" fillId="0" borderId="8" xfId="0" applyNumberFormat="1" applyFont="1" applyFill="1" applyBorder="1" applyAlignment="1">
      <alignment horizontal="right" vertical="center" wrapText="1"/>
    </xf>
    <xf numFmtId="169" fontId="78" fillId="0" borderId="0" xfId="0" applyNumberFormat="1" applyFont="1" applyFill="1" applyBorder="1" applyAlignment="1">
      <alignment horizontal="right" vertical="center" wrapText="1"/>
    </xf>
    <xf numFmtId="0" fontId="79" fillId="0" borderId="0" xfId="0" applyFont="1" applyFill="1" applyBorder="1" applyAlignment="1">
      <alignment horizontal="center" vertical="center" wrapText="1"/>
    </xf>
    <xf numFmtId="170" fontId="78" fillId="0" borderId="8" xfId="0" applyNumberFormat="1" applyFont="1" applyFill="1" applyBorder="1" applyAlignment="1">
      <alignment horizontal="right" vertical="center" wrapText="1"/>
    </xf>
    <xf numFmtId="170" fontId="78" fillId="0" borderId="0" xfId="0" applyNumberFormat="1" applyFont="1" applyFill="1" applyBorder="1" applyAlignment="1">
      <alignment horizontal="right" vertical="center" wrapText="1"/>
    </xf>
    <xf numFmtId="0" fontId="79" fillId="0" borderId="24" xfId="0" applyFont="1" applyFill="1" applyBorder="1" applyAlignment="1">
      <alignment horizontal="center" vertical="center" wrapText="1"/>
    </xf>
    <xf numFmtId="2" fontId="79" fillId="0" borderId="22" xfId="0" applyNumberFormat="1" applyFont="1" applyFill="1" applyBorder="1" applyAlignment="1">
      <alignment horizontal="center" vertical="center" wrapText="1"/>
    </xf>
    <xf numFmtId="169" fontId="78" fillId="0" borderId="23" xfId="0" applyNumberFormat="1" applyFont="1" applyFill="1" applyBorder="1" applyAlignment="1">
      <alignment horizontal="right" vertical="center" wrapText="1"/>
    </xf>
    <xf numFmtId="0" fontId="79" fillId="0" borderId="22" xfId="0" applyFont="1" applyFill="1" applyBorder="1" applyAlignment="1">
      <alignment horizontal="center" vertical="center" wrapText="1"/>
    </xf>
    <xf numFmtId="169" fontId="79" fillId="0" borderId="23" xfId="0" applyNumberFormat="1" applyFont="1" applyFill="1" applyBorder="1" applyAlignment="1">
      <alignment horizontal="right" vertical="center" wrapText="1"/>
    </xf>
    <xf numFmtId="169" fontId="79" fillId="0" borderId="22" xfId="0" applyNumberFormat="1" applyFont="1" applyFill="1" applyBorder="1" applyAlignment="1">
      <alignment vertical="top" wrapText="1"/>
    </xf>
    <xf numFmtId="0" fontId="78" fillId="0" borderId="22" xfId="0" applyFont="1" applyFill="1" applyBorder="1"/>
    <xf numFmtId="0" fontId="78" fillId="0" borderId="22" xfId="0" applyFont="1" applyFill="1" applyBorder="1" applyAlignment="1">
      <alignment wrapText="1"/>
    </xf>
    <xf numFmtId="170" fontId="78" fillId="0" borderId="24" xfId="0" applyNumberFormat="1" applyFont="1" applyFill="1" applyBorder="1" applyAlignment="1">
      <alignment horizontal="center" vertical="top" wrapText="1"/>
    </xf>
    <xf numFmtId="2" fontId="78" fillId="0" borderId="23" xfId="0" applyNumberFormat="1" applyFont="1" applyFill="1" applyBorder="1" applyAlignment="1">
      <alignment horizontal="right" vertical="top" wrapText="1"/>
    </xf>
    <xf numFmtId="170" fontId="78" fillId="0" borderId="0" xfId="0" applyNumberFormat="1" applyFont="1" applyFill="1" applyBorder="1" applyAlignment="1">
      <alignment horizontal="center" vertical="center" wrapText="1"/>
    </xf>
    <xf numFmtId="0" fontId="79" fillId="0" borderId="22" xfId="0" applyFont="1" applyFill="1" applyBorder="1"/>
    <xf numFmtId="167" fontId="79" fillId="0" borderId="22" xfId="0" applyNumberFormat="1" applyFont="1" applyFill="1" applyBorder="1" applyAlignment="1">
      <alignment horizontal="center" vertical="top" wrapText="1"/>
    </xf>
    <xf numFmtId="176" fontId="79" fillId="0" borderId="22" xfId="0" applyNumberFormat="1" applyFont="1" applyFill="1" applyBorder="1" applyAlignment="1">
      <alignment horizontal="center" vertical="top" wrapText="1"/>
    </xf>
    <xf numFmtId="169" fontId="78" fillId="0" borderId="23" xfId="0" applyNumberFormat="1" applyFont="1" applyFill="1" applyBorder="1" applyAlignment="1">
      <alignment horizontal="right" vertical="center" wrapText="1" indent="1"/>
    </xf>
    <xf numFmtId="49" fontId="93" fillId="0" borderId="22" xfId="0" applyNumberFormat="1" applyFont="1" applyFill="1" applyBorder="1" applyAlignment="1">
      <alignment horizontal="right" vertical="center" wrapText="1"/>
    </xf>
    <xf numFmtId="0" fontId="78" fillId="0" borderId="22" xfId="0" applyFont="1" applyFill="1" applyBorder="1" applyAlignment="1">
      <alignment horizontal="center" vertical="center" wrapText="1"/>
    </xf>
    <xf numFmtId="169" fontId="78" fillId="0" borderId="22" xfId="0" applyNumberFormat="1" applyFont="1" applyFill="1" applyBorder="1" applyAlignment="1">
      <alignment horizontal="center" vertical="center" wrapText="1"/>
    </xf>
    <xf numFmtId="2" fontId="78" fillId="0" borderId="22" xfId="0" applyNumberFormat="1" applyFont="1" applyFill="1" applyBorder="1" applyAlignment="1">
      <alignment horizontal="center" vertical="center" wrapText="1"/>
    </xf>
    <xf numFmtId="49" fontId="78" fillId="0" borderId="22" xfId="0" applyNumberFormat="1" applyFont="1" applyFill="1" applyBorder="1" applyAlignment="1">
      <alignment horizontal="center" vertical="center" wrapText="1"/>
    </xf>
    <xf numFmtId="0" fontId="78" fillId="0" borderId="0" xfId="0" applyFont="1" applyFill="1" applyBorder="1" applyAlignment="1">
      <alignment vertical="center"/>
    </xf>
    <xf numFmtId="169" fontId="79" fillId="0" borderId="22" xfId="0" applyNumberFormat="1" applyFont="1" applyFill="1" applyBorder="1" applyAlignment="1">
      <alignment horizontal="center" vertical="center" wrapText="1"/>
    </xf>
    <xf numFmtId="0" fontId="79" fillId="0" borderId="0" xfId="0" applyFont="1" applyFill="1" applyBorder="1" applyAlignment="1">
      <alignment horizontal="center" vertical="center"/>
    </xf>
    <xf numFmtId="169" fontId="78" fillId="0" borderId="23" xfId="0" applyNumberFormat="1" applyFont="1" applyFill="1" applyBorder="1" applyAlignment="1">
      <alignment horizontal="center" vertical="center" wrapText="1"/>
    </xf>
    <xf numFmtId="167" fontId="79" fillId="0" borderId="22" xfId="0" applyNumberFormat="1" applyFont="1" applyFill="1" applyBorder="1" applyAlignment="1">
      <alignment horizontal="center" vertical="center" wrapText="1"/>
    </xf>
    <xf numFmtId="169" fontId="79" fillId="0" borderId="22" xfId="77" applyNumberFormat="1" applyFont="1" applyFill="1" applyBorder="1" applyAlignment="1">
      <alignment horizontal="justify" vertical="top" wrapText="1"/>
    </xf>
    <xf numFmtId="0" fontId="78" fillId="0" borderId="22" xfId="77" applyFont="1" applyFill="1" applyBorder="1" applyAlignment="1">
      <alignment vertical="top" wrapText="1"/>
    </xf>
    <xf numFmtId="2" fontId="78" fillId="0" borderId="0" xfId="0" applyNumberFormat="1" applyFont="1" applyFill="1" applyBorder="1" applyAlignment="1">
      <alignment horizontal="right" vertical="top" wrapText="1"/>
    </xf>
    <xf numFmtId="169" fontId="79" fillId="0" borderId="0" xfId="0" applyNumberFormat="1" applyFont="1" applyFill="1" applyBorder="1" applyAlignment="1">
      <alignment horizontal="right" vertical="center" wrapText="1"/>
    </xf>
    <xf numFmtId="169" fontId="78" fillId="0" borderId="0" xfId="0" applyNumberFormat="1" applyFont="1" applyFill="1" applyBorder="1" applyAlignment="1">
      <alignment horizontal="right" vertical="center" wrapText="1" indent="1"/>
    </xf>
    <xf numFmtId="169" fontId="78" fillId="0" borderId="0" xfId="0" applyNumberFormat="1" applyFont="1" applyFill="1" applyBorder="1" applyAlignment="1">
      <alignment horizontal="center" vertical="center" wrapText="1"/>
    </xf>
    <xf numFmtId="0" fontId="78" fillId="0" borderId="22" xfId="0" applyFont="1" applyFill="1" applyBorder="1" applyAlignment="1">
      <alignment horizontal="center" wrapText="1"/>
    </xf>
    <xf numFmtId="0" fontId="79" fillId="0" borderId="24" xfId="0" applyFont="1" applyFill="1" applyBorder="1" applyAlignment="1">
      <alignment horizontal="center" vertical="top"/>
    </xf>
    <xf numFmtId="0" fontId="79" fillId="0" borderId="22" xfId="0" applyFont="1" applyFill="1" applyBorder="1" applyAlignment="1">
      <alignment horizontal="center"/>
    </xf>
    <xf numFmtId="0" fontId="79" fillId="0" borderId="22" xfId="82" applyFont="1" applyFill="1" applyBorder="1" applyAlignment="1">
      <alignment horizontal="right" vertical="top"/>
    </xf>
    <xf numFmtId="0" fontId="79" fillId="0" borderId="0" xfId="82" applyFont="1" applyFill="1" applyBorder="1" applyAlignment="1">
      <alignment horizontal="right" vertical="top"/>
    </xf>
    <xf numFmtId="0" fontId="79" fillId="0" borderId="25" xfId="0" applyFont="1" applyFill="1" applyBorder="1" applyAlignment="1">
      <alignment horizontal="center" vertical="top"/>
    </xf>
    <xf numFmtId="0" fontId="79" fillId="0" borderId="26" xfId="0" applyFont="1" applyFill="1" applyBorder="1" applyAlignment="1">
      <alignment horizontal="center"/>
    </xf>
    <xf numFmtId="0" fontId="79" fillId="0" borderId="26" xfId="0" applyFont="1" applyFill="1" applyBorder="1"/>
    <xf numFmtId="169" fontId="79" fillId="0" borderId="26" xfId="0" applyNumberFormat="1" applyFont="1" applyFill="1" applyBorder="1" applyAlignment="1">
      <alignment horizontal="center" vertical="top" wrapText="1"/>
    </xf>
    <xf numFmtId="0" fontId="79" fillId="0" borderId="26" xfId="82" applyFont="1" applyFill="1" applyBorder="1" applyAlignment="1">
      <alignment horizontal="right" vertical="top"/>
    </xf>
    <xf numFmtId="0" fontId="79" fillId="0" borderId="0" xfId="0" applyFont="1" applyFill="1" applyBorder="1" applyAlignment="1">
      <alignment horizontal="center" vertical="top"/>
    </xf>
    <xf numFmtId="0" fontId="79" fillId="0" borderId="0" xfId="0" applyFont="1" applyFill="1" applyBorder="1" applyAlignment="1">
      <alignment horizontal="center" vertical="top" wrapText="1"/>
    </xf>
    <xf numFmtId="169" fontId="79" fillId="0" borderId="0" xfId="0" applyNumberFormat="1" applyFont="1" applyFill="1" applyBorder="1" applyAlignment="1">
      <alignment horizontal="center" vertical="top" wrapText="1"/>
    </xf>
    <xf numFmtId="0" fontId="79" fillId="0" borderId="0" xfId="82" applyFont="1" applyFill="1" applyBorder="1" applyAlignment="1">
      <alignment horizontal="center" vertical="top"/>
    </xf>
    <xf numFmtId="0" fontId="79" fillId="0" borderId="0" xfId="0" applyFont="1" applyFill="1" applyBorder="1" applyAlignment="1">
      <alignment horizontal="justify" vertical="top" wrapText="1"/>
    </xf>
    <xf numFmtId="167" fontId="79" fillId="0" borderId="0" xfId="0" applyNumberFormat="1" applyFont="1" applyFill="1" applyBorder="1"/>
    <xf numFmtId="2" fontId="79" fillId="0" borderId="0" xfId="0" applyNumberFormat="1" applyFont="1" applyFill="1" applyBorder="1" applyAlignment="1">
      <alignment horizontal="right" vertical="top" wrapText="1"/>
    </xf>
    <xf numFmtId="2" fontId="79" fillId="0" borderId="0" xfId="0" applyNumberFormat="1" applyFont="1" applyFill="1" applyBorder="1"/>
    <xf numFmtId="2" fontId="79" fillId="0" borderId="33" xfId="0" applyNumberFormat="1" applyFont="1" applyFill="1" applyBorder="1" applyAlignment="1">
      <alignment horizontal="right" vertical="top" wrapText="1"/>
    </xf>
    <xf numFmtId="0" fontId="79" fillId="0" borderId="0" xfId="0" applyFont="1" applyFill="1" applyBorder="1" applyAlignment="1">
      <alignment vertical="center"/>
    </xf>
    <xf numFmtId="167" fontId="79" fillId="0" borderId="0" xfId="0" applyNumberFormat="1" applyFont="1" applyFill="1" applyBorder="1" applyAlignment="1">
      <alignment vertical="center"/>
    </xf>
    <xf numFmtId="2" fontId="79" fillId="0" borderId="0" xfId="0" applyNumberFormat="1" applyFont="1" applyFill="1" applyBorder="1" applyAlignment="1">
      <alignment vertical="center"/>
    </xf>
    <xf numFmtId="2" fontId="79" fillId="0" borderId="8" xfId="0" applyNumberFormat="1" applyFont="1" applyFill="1" applyBorder="1" applyAlignment="1">
      <alignment horizontal="right" vertical="center" wrapText="1"/>
    </xf>
    <xf numFmtId="0" fontId="79" fillId="0" borderId="8" xfId="0" applyFont="1" applyFill="1" applyBorder="1" applyAlignment="1">
      <alignment vertical="top" wrapText="1"/>
    </xf>
    <xf numFmtId="169" fontId="79" fillId="0" borderId="8" xfId="0" applyNumberFormat="1" applyFont="1" applyFill="1" applyBorder="1" applyAlignment="1">
      <alignment horizontal="justify" vertical="top" wrapText="1"/>
    </xf>
    <xf numFmtId="2" fontId="79" fillId="0" borderId="8" xfId="0" applyNumberFormat="1" applyFont="1" applyFill="1" applyBorder="1" applyAlignment="1">
      <alignment horizontal="right" vertical="top" wrapText="1"/>
    </xf>
    <xf numFmtId="0" fontId="0" fillId="0" borderId="8" xfId="0" applyBorder="1"/>
    <xf numFmtId="169" fontId="79" fillId="0" borderId="8" xfId="0" applyNumberFormat="1" applyFont="1" applyFill="1" applyBorder="1" applyAlignment="1">
      <alignment horizontal="right" vertical="center" wrapText="1"/>
    </xf>
    <xf numFmtId="169" fontId="79" fillId="0" borderId="8" xfId="0" applyNumberFormat="1" applyFont="1" applyFill="1" applyBorder="1" applyAlignment="1">
      <alignment vertical="top" wrapText="1"/>
    </xf>
    <xf numFmtId="167" fontId="79" fillId="0" borderId="8" xfId="0" applyNumberFormat="1" applyFont="1" applyFill="1" applyBorder="1"/>
    <xf numFmtId="0" fontId="78" fillId="0" borderId="8" xfId="0" applyFont="1" applyFill="1" applyBorder="1" applyAlignment="1">
      <alignment wrapText="1"/>
    </xf>
    <xf numFmtId="0" fontId="78" fillId="0" borderId="8" xfId="0" applyFont="1" applyFill="1" applyBorder="1" applyAlignment="1">
      <alignment horizontal="justify" vertical="top" wrapText="1"/>
    </xf>
    <xf numFmtId="2" fontId="78" fillId="0" borderId="8" xfId="0" applyNumberFormat="1" applyFont="1" applyFill="1" applyBorder="1" applyAlignment="1">
      <alignment horizontal="right" vertical="top" wrapText="1"/>
    </xf>
    <xf numFmtId="167" fontId="79" fillId="0" borderId="8" xfId="0" applyNumberFormat="1" applyFont="1" applyFill="1" applyBorder="1" applyAlignment="1">
      <alignment horizontal="center" vertical="top" wrapText="1"/>
    </xf>
    <xf numFmtId="49" fontId="93" fillId="0" borderId="8" xfId="0" applyNumberFormat="1" applyFont="1" applyFill="1" applyBorder="1" applyAlignment="1">
      <alignment horizontal="right" vertical="center" wrapText="1"/>
    </xf>
    <xf numFmtId="2" fontId="78" fillId="0" borderId="8" xfId="0" applyNumberFormat="1" applyFont="1" applyFill="1" applyBorder="1" applyAlignment="1">
      <alignment horizontal="center" vertical="center" wrapText="1"/>
    </xf>
    <xf numFmtId="49" fontId="78" fillId="0" borderId="8" xfId="0" applyNumberFormat="1" applyFont="1" applyFill="1" applyBorder="1" applyAlignment="1">
      <alignment horizontal="center" vertical="center" wrapText="1"/>
    </xf>
    <xf numFmtId="0" fontId="78" fillId="0" borderId="8" xfId="0" applyFont="1" applyFill="1" applyBorder="1" applyAlignment="1">
      <alignment vertical="center"/>
    </xf>
    <xf numFmtId="0" fontId="78" fillId="0" borderId="8" xfId="0" applyFont="1" applyFill="1" applyBorder="1" applyAlignment="1">
      <alignment horizontal="center" wrapText="1"/>
    </xf>
    <xf numFmtId="167" fontId="79" fillId="0" borderId="8" xfId="0" applyNumberFormat="1" applyFont="1" applyFill="1" applyBorder="1" applyAlignment="1">
      <alignment horizontal="center" vertical="center" wrapText="1"/>
    </xf>
    <xf numFmtId="2" fontId="79" fillId="0" borderId="8" xfId="0" applyNumberFormat="1" applyFont="1" applyFill="1" applyBorder="1"/>
    <xf numFmtId="169" fontId="78" fillId="0" borderId="8" xfId="0" applyNumberFormat="1" applyFont="1" applyFill="1" applyBorder="1" applyAlignment="1">
      <alignment horizontal="right" vertical="center" wrapText="1" indent="1"/>
    </xf>
    <xf numFmtId="169" fontId="78" fillId="0" borderId="8" xfId="0" applyNumberFormat="1" applyFont="1" applyFill="1" applyBorder="1" applyAlignment="1">
      <alignment horizontal="justify" vertical="top" wrapText="1"/>
    </xf>
    <xf numFmtId="0" fontId="79" fillId="0" borderId="8" xfId="0" applyFont="1" applyFill="1" applyBorder="1" applyAlignment="1">
      <alignment vertical="center"/>
    </xf>
    <xf numFmtId="0" fontId="77" fillId="0" borderId="8" xfId="82" applyFont="1" applyFill="1" applyBorder="1" applyAlignment="1">
      <alignment vertical="center" shrinkToFit="1"/>
    </xf>
    <xf numFmtId="0" fontId="16" fillId="0" borderId="0" xfId="0" applyFont="1"/>
    <xf numFmtId="0" fontId="105" fillId="0" borderId="0" xfId="0" applyFont="1"/>
    <xf numFmtId="0" fontId="77" fillId="0" borderId="0" xfId="82" applyFont="1" applyFill="1" applyBorder="1" applyAlignment="1">
      <alignment horizontal="center" vertical="center" shrinkToFit="1"/>
    </xf>
    <xf numFmtId="2" fontId="79" fillId="43" borderId="22" xfId="0" applyNumberFormat="1" applyFont="1" applyFill="1" applyBorder="1" applyAlignment="1">
      <alignment horizontal="right" vertical="center" wrapText="1"/>
    </xf>
    <xf numFmtId="175" fontId="79" fillId="0" borderId="8" xfId="0" applyNumberFormat="1" applyFont="1" applyFill="1" applyBorder="1" applyAlignment="1">
      <alignment horizontal="center" vertical="center"/>
    </xf>
    <xf numFmtId="0" fontId="110" fillId="0" borderId="0" xfId="0" applyFont="1"/>
    <xf numFmtId="0" fontId="110" fillId="0" borderId="35" xfId="0" applyFont="1" applyBorder="1"/>
    <xf numFmtId="0" fontId="97" fillId="0" borderId="8" xfId="0" applyFont="1" applyBorder="1"/>
    <xf numFmtId="0" fontId="97" fillId="43" borderId="8" xfId="0" applyFont="1" applyFill="1" applyBorder="1"/>
    <xf numFmtId="0" fontId="44" fillId="0" borderId="8" xfId="0" applyFont="1" applyBorder="1"/>
    <xf numFmtId="2" fontId="97" fillId="0" borderId="8" xfId="0" applyNumberFormat="1" applyFont="1" applyBorder="1"/>
    <xf numFmtId="0" fontId="97" fillId="0" borderId="0" xfId="0" applyFont="1" applyBorder="1" applyAlignment="1"/>
    <xf numFmtId="0" fontId="97" fillId="0" borderId="8" xfId="0" applyFont="1" applyBorder="1" applyAlignment="1"/>
    <xf numFmtId="0" fontId="97" fillId="43" borderId="8" xfId="0" applyFont="1" applyFill="1" applyBorder="1" applyAlignment="1"/>
    <xf numFmtId="0" fontId="110" fillId="0" borderId="8" xfId="0" applyFont="1" applyBorder="1"/>
    <xf numFmtId="2" fontId="97" fillId="0" borderId="8" xfId="0" applyNumberFormat="1" applyFont="1" applyBorder="1" applyAlignment="1"/>
    <xf numFmtId="2" fontId="111" fillId="0" borderId="8" xfId="0" applyNumberFormat="1" applyFont="1" applyBorder="1"/>
    <xf numFmtId="166" fontId="97" fillId="0" borderId="8" xfId="0" applyNumberFormat="1" applyFont="1" applyBorder="1" applyAlignment="1">
      <alignment horizontal="center"/>
    </xf>
    <xf numFmtId="2" fontId="97" fillId="0" borderId="8" xfId="0" applyNumberFormat="1" applyFont="1" applyBorder="1" applyAlignment="1">
      <alignment horizontal="right"/>
    </xf>
    <xf numFmtId="2" fontId="97" fillId="0" borderId="8" xfId="0" applyNumberFormat="1" applyFont="1" applyBorder="1" applyAlignment="1">
      <alignment horizontal="left"/>
    </xf>
    <xf numFmtId="2" fontId="44" fillId="0" borderId="8" xfId="0" applyNumberFormat="1" applyFont="1" applyBorder="1"/>
    <xf numFmtId="167" fontId="97" fillId="0" borderId="8" xfId="0" applyNumberFormat="1" applyFont="1" applyBorder="1" applyAlignment="1"/>
    <xf numFmtId="176" fontId="97" fillId="0" borderId="8" xfId="0" applyNumberFormat="1" applyFont="1" applyBorder="1" applyAlignment="1"/>
    <xf numFmtId="176" fontId="97" fillId="0" borderId="0" xfId="0" applyNumberFormat="1" applyFont="1" applyBorder="1" applyAlignment="1"/>
    <xf numFmtId="0" fontId="97" fillId="0" borderId="8" xfId="0" quotePrefix="1" applyFont="1" applyBorder="1"/>
    <xf numFmtId="2" fontId="97" fillId="0" borderId="8" xfId="0" applyNumberFormat="1" applyFont="1" applyBorder="1" applyAlignment="1">
      <alignment horizontal="center"/>
    </xf>
    <xf numFmtId="167" fontId="97" fillId="0" borderId="8" xfId="0" applyNumberFormat="1" applyFont="1" applyBorder="1" applyAlignment="1">
      <alignment horizontal="center"/>
    </xf>
    <xf numFmtId="0" fontId="97" fillId="0" borderId="0" xfId="0" applyFont="1" applyBorder="1"/>
    <xf numFmtId="0" fontId="110" fillId="43" borderId="35" xfId="0" applyFont="1" applyFill="1" applyBorder="1"/>
    <xf numFmtId="2" fontId="97" fillId="43" borderId="8" xfId="0" applyNumberFormat="1" applyFont="1" applyFill="1" applyBorder="1"/>
    <xf numFmtId="0" fontId="110" fillId="43" borderId="0" xfId="0" applyFont="1" applyFill="1"/>
    <xf numFmtId="177" fontId="97" fillId="0" borderId="8" xfId="0" applyNumberFormat="1" applyFont="1" applyBorder="1"/>
    <xf numFmtId="0" fontId="0" fillId="0" borderId="35" xfId="0" applyBorder="1"/>
    <xf numFmtId="0" fontId="49" fillId="0" borderId="0" xfId="0" applyFont="1"/>
    <xf numFmtId="0" fontId="102" fillId="0" borderId="8" xfId="0" applyFont="1" applyBorder="1" applyAlignment="1">
      <alignment horizontal="center" vertical="center"/>
    </xf>
    <xf numFmtId="0" fontId="102" fillId="0" borderId="8" xfId="0" applyFont="1" applyBorder="1" applyAlignment="1">
      <alignment horizontal="center"/>
    </xf>
    <xf numFmtId="0" fontId="102" fillId="0" borderId="8" xfId="0" applyFont="1" applyFill="1" applyBorder="1" applyAlignment="1">
      <alignment horizontal="center"/>
    </xf>
    <xf numFmtId="0" fontId="101" fillId="0" borderId="8" xfId="0" applyFont="1" applyBorder="1" applyAlignment="1">
      <alignment horizontal="center" vertical="center"/>
    </xf>
    <xf numFmtId="0" fontId="101" fillId="0" borderId="8" xfId="0" applyFont="1" applyBorder="1" applyAlignment="1">
      <alignment horizontal="justify" wrapText="1"/>
    </xf>
    <xf numFmtId="0" fontId="101" fillId="0" borderId="8" xfId="0" applyFont="1" applyBorder="1" applyAlignment="1">
      <alignment horizontal="center"/>
    </xf>
    <xf numFmtId="2" fontId="101" fillId="0" borderId="8" xfId="0" applyNumberFormat="1" applyFont="1" applyBorder="1"/>
    <xf numFmtId="0" fontId="101" fillId="0" borderId="8" xfId="0" applyFont="1" applyBorder="1"/>
    <xf numFmtId="2" fontId="101" fillId="0" borderId="8" xfId="0" applyNumberFormat="1" applyFont="1" applyBorder="1" applyAlignment="1">
      <alignment horizontal="justify" wrapText="1"/>
    </xf>
    <xf numFmtId="1" fontId="101" fillId="0" borderId="8" xfId="0" applyNumberFormat="1" applyFont="1" applyBorder="1"/>
    <xf numFmtId="2" fontId="49" fillId="0" borderId="8" xfId="0" applyNumberFormat="1" applyFont="1" applyBorder="1"/>
    <xf numFmtId="0" fontId="79" fillId="0" borderId="8" xfId="0" applyFont="1" applyBorder="1"/>
    <xf numFmtId="0" fontId="114" fillId="0" borderId="0" xfId="0" applyFont="1"/>
    <xf numFmtId="0" fontId="113" fillId="0" borderId="8" xfId="0" applyFont="1" applyBorder="1" applyAlignment="1">
      <alignment horizontal="center" vertical="center"/>
    </xf>
    <xf numFmtId="0" fontId="114" fillId="0" borderId="8" xfId="0" applyFont="1" applyBorder="1" applyAlignment="1">
      <alignment vertical="center"/>
    </xf>
    <xf numFmtId="0" fontId="114" fillId="0" borderId="8" xfId="0" applyFont="1" applyBorder="1"/>
    <xf numFmtId="0" fontId="10" fillId="0" borderId="0" xfId="0" applyFont="1"/>
    <xf numFmtId="0" fontId="97" fillId="0" borderId="8" xfId="0" applyFont="1" applyFill="1" applyBorder="1" applyAlignment="1">
      <alignment horizontal="center"/>
    </xf>
    <xf numFmtId="0" fontId="97" fillId="0" borderId="0" xfId="0" applyFont="1" applyBorder="1" applyAlignment="1">
      <alignment horizontal="left"/>
    </xf>
    <xf numFmtId="0" fontId="97" fillId="0" borderId="8" xfId="0" applyFont="1" applyBorder="1" applyAlignment="1">
      <alignment horizontal="right"/>
    </xf>
    <xf numFmtId="0" fontId="97" fillId="0" borderId="8" xfId="0" applyFont="1" applyBorder="1" applyAlignment="1">
      <alignment horizontal="center"/>
    </xf>
    <xf numFmtId="0" fontId="97" fillId="0" borderId="8" xfId="0" applyFont="1" applyBorder="1" applyAlignment="1">
      <alignment horizontal="left"/>
    </xf>
    <xf numFmtId="0" fontId="110" fillId="0" borderId="35" xfId="0" applyFont="1" applyFill="1" applyBorder="1"/>
    <xf numFmtId="0" fontId="97" fillId="0" borderId="8" xfId="0" applyFont="1" applyFill="1" applyBorder="1"/>
    <xf numFmtId="0" fontId="44" fillId="0" borderId="8" xfId="0" applyFont="1" applyFill="1" applyBorder="1"/>
    <xf numFmtId="2" fontId="97" fillId="0" borderId="8" xfId="0" applyNumberFormat="1" applyFont="1" applyFill="1" applyBorder="1"/>
    <xf numFmtId="0" fontId="97" fillId="0" borderId="8" xfId="0" applyFont="1" applyFill="1" applyBorder="1" applyAlignment="1"/>
    <xf numFmtId="0" fontId="110" fillId="0" borderId="8" xfId="0" applyFont="1" applyFill="1" applyBorder="1"/>
    <xf numFmtId="0" fontId="97" fillId="0" borderId="8" xfId="0" applyFont="1" applyFill="1" applyBorder="1" applyAlignment="1">
      <alignment horizontal="right"/>
    </xf>
    <xf numFmtId="2" fontId="97" fillId="0" borderId="8" xfId="0" applyNumberFormat="1" applyFont="1" applyFill="1" applyBorder="1" applyAlignment="1"/>
    <xf numFmtId="2" fontId="111" fillId="0" borderId="8" xfId="0" applyNumberFormat="1" applyFont="1" applyFill="1" applyBorder="1"/>
    <xf numFmtId="166" fontId="97" fillId="0" borderId="8" xfId="0" applyNumberFormat="1" applyFont="1" applyFill="1" applyBorder="1" applyAlignment="1">
      <alignment horizontal="center"/>
    </xf>
    <xf numFmtId="2" fontId="97" fillId="0" borderId="8" xfId="0" applyNumberFormat="1" applyFont="1" applyFill="1" applyBorder="1" applyAlignment="1">
      <alignment horizontal="right"/>
    </xf>
    <xf numFmtId="2" fontId="97" fillId="0" borderId="8" xfId="0" applyNumberFormat="1" applyFont="1" applyFill="1" applyBorder="1" applyAlignment="1">
      <alignment horizontal="left"/>
    </xf>
    <xf numFmtId="2" fontId="44" fillId="0" borderId="8" xfId="0" applyNumberFormat="1" applyFont="1" applyFill="1" applyBorder="1"/>
    <xf numFmtId="167" fontId="97" fillId="0" borderId="8" xfId="0" applyNumberFormat="1" applyFont="1" applyFill="1" applyBorder="1" applyAlignment="1"/>
    <xf numFmtId="176" fontId="97" fillId="0" borderId="8" xfId="0" applyNumberFormat="1" applyFont="1" applyFill="1" applyBorder="1" applyAlignment="1"/>
    <xf numFmtId="0" fontId="97" fillId="0" borderId="8" xfId="0" quotePrefix="1" applyFont="1" applyFill="1" applyBorder="1"/>
    <xf numFmtId="0" fontId="97" fillId="0" borderId="8" xfId="0" applyFont="1" applyFill="1" applyBorder="1" applyAlignment="1">
      <alignment horizontal="left"/>
    </xf>
    <xf numFmtId="167" fontId="97" fillId="0" borderId="8" xfId="0" applyNumberFormat="1" applyFont="1" applyFill="1" applyBorder="1" applyAlignment="1">
      <alignment horizontal="center"/>
    </xf>
    <xf numFmtId="177" fontId="97" fillId="0" borderId="8" xfId="0" applyNumberFormat="1" applyFont="1" applyFill="1" applyBorder="1"/>
    <xf numFmtId="0" fontId="0" fillId="0" borderId="0" xfId="0" applyFill="1"/>
    <xf numFmtId="0" fontId="0" fillId="0" borderId="8" xfId="0" applyFill="1" applyBorder="1"/>
    <xf numFmtId="0" fontId="110" fillId="0" borderId="0" xfId="0" applyFont="1" applyFill="1"/>
    <xf numFmtId="0" fontId="97" fillId="0" borderId="0" xfId="0" applyFont="1" applyFill="1" applyBorder="1" applyAlignment="1"/>
    <xf numFmtId="0" fontId="97" fillId="0" borderId="0" xfId="0" applyFont="1" applyFill="1" applyBorder="1" applyAlignment="1">
      <alignment horizontal="left"/>
    </xf>
    <xf numFmtId="176" fontId="97" fillId="0" borderId="0" xfId="0" applyNumberFormat="1" applyFont="1" applyFill="1" applyBorder="1" applyAlignment="1"/>
    <xf numFmtId="0" fontId="97" fillId="0" borderId="0" xfId="0" applyFont="1" applyFill="1" applyBorder="1"/>
    <xf numFmtId="0" fontId="49" fillId="0" borderId="8" xfId="0" applyFont="1" applyBorder="1" applyAlignment="1">
      <alignment horizontal="center" vertical="center"/>
    </xf>
    <xf numFmtId="0" fontId="49" fillId="0" borderId="0" xfId="0" applyFont="1" applyAlignment="1">
      <alignment horizontal="center" vertical="center"/>
    </xf>
    <xf numFmtId="0" fontId="101" fillId="43" borderId="8" xfId="0" applyFont="1" applyFill="1" applyBorder="1" applyAlignment="1">
      <alignment horizontal="justify" wrapText="1"/>
    </xf>
    <xf numFmtId="0" fontId="102" fillId="0" borderId="0" xfId="105" applyFont="1" applyAlignment="1">
      <alignment horizontal="center" wrapText="1"/>
    </xf>
    <xf numFmtId="0" fontId="101" fillId="0" borderId="0" xfId="105" applyFont="1" applyAlignment="1">
      <alignment horizontal="center" wrapText="1"/>
    </xf>
    <xf numFmtId="0" fontId="118" fillId="0" borderId="0" xfId="105" applyFont="1" applyAlignment="1">
      <alignment horizontal="center"/>
    </xf>
    <xf numFmtId="0" fontId="102" fillId="0" borderId="0" xfId="105" applyFont="1" applyAlignment="1">
      <alignment horizontal="center"/>
    </xf>
    <xf numFmtId="0" fontId="101" fillId="0" borderId="0" xfId="105" applyFont="1" applyAlignment="1">
      <alignment horizontal="center"/>
    </xf>
    <xf numFmtId="0" fontId="44" fillId="0" borderId="0" xfId="105" applyFont="1" applyAlignment="1">
      <alignment horizontal="center"/>
    </xf>
    <xf numFmtId="0" fontId="44" fillId="0" borderId="0" xfId="105" applyFont="1" applyAlignment="1">
      <alignment horizontal="left"/>
    </xf>
    <xf numFmtId="0" fontId="112" fillId="0" borderId="0" xfId="0" applyFont="1"/>
    <xf numFmtId="0" fontId="30" fillId="0" borderId="8" xfId="105" applyFont="1" applyBorder="1" applyAlignment="1">
      <alignment horizontal="center" vertical="center" wrapText="1"/>
    </xf>
    <xf numFmtId="0" fontId="30" fillId="0" borderId="8" xfId="105" applyFont="1" applyBorder="1" applyAlignment="1">
      <alignment horizontal="left" vertical="center" wrapText="1"/>
    </xf>
    <xf numFmtId="0" fontId="30" fillId="0" borderId="8" xfId="105" applyFont="1" applyFill="1" applyBorder="1" applyAlignment="1">
      <alignment horizontal="center" vertical="center" wrapText="1"/>
    </xf>
    <xf numFmtId="0" fontId="15" fillId="0" borderId="8" xfId="105" applyFont="1" applyBorder="1" applyAlignment="1">
      <alignment horizontal="center" vertical="center"/>
    </xf>
    <xf numFmtId="0" fontId="15" fillId="0" borderId="8" xfId="105" applyFont="1" applyBorder="1" applyAlignment="1">
      <alignment horizontal="left" vertical="center" wrapText="1"/>
    </xf>
    <xf numFmtId="0" fontId="15" fillId="0" borderId="8" xfId="105" applyFont="1" applyBorder="1" applyAlignment="1">
      <alignment horizontal="center" vertical="center" wrapText="1"/>
    </xf>
    <xf numFmtId="2" fontId="15" fillId="0" borderId="8" xfId="105" applyNumberFormat="1" applyFont="1" applyBorder="1" applyAlignment="1">
      <alignment horizontal="center" vertical="center"/>
    </xf>
    <xf numFmtId="2" fontId="119" fillId="0" borderId="8" xfId="0" applyNumberFormat="1" applyFont="1" applyBorder="1" applyAlignment="1">
      <alignment horizontal="center" vertical="center"/>
    </xf>
    <xf numFmtId="0" fontId="15" fillId="0" borderId="8" xfId="105" applyFont="1" applyBorder="1" applyAlignment="1">
      <alignment horizontal="left" vertical="center"/>
    </xf>
    <xf numFmtId="2" fontId="15" fillId="0" borderId="8" xfId="105" applyNumberFormat="1" applyFont="1" applyFill="1" applyBorder="1" applyAlignment="1">
      <alignment horizontal="center" vertical="center"/>
    </xf>
    <xf numFmtId="0" fontId="15" fillId="0" borderId="8" xfId="105" applyFont="1" applyFill="1" applyBorder="1" applyAlignment="1">
      <alignment horizontal="left" vertical="center" wrapText="1"/>
    </xf>
    <xf numFmtId="0" fontId="75" fillId="0" borderId="8" xfId="0" applyFont="1" applyBorder="1" applyAlignment="1">
      <alignment horizontal="center" vertical="center"/>
    </xf>
    <xf numFmtId="0" fontId="15" fillId="0" borderId="8" xfId="105" applyFont="1" applyBorder="1" applyAlignment="1">
      <alignment horizontal="left" wrapText="1"/>
    </xf>
    <xf numFmtId="2" fontId="15" fillId="0" borderId="8" xfId="105" quotePrefix="1" applyNumberFormat="1" applyFont="1" applyBorder="1" applyAlignment="1">
      <alignment horizontal="center" vertical="center"/>
    </xf>
    <xf numFmtId="0" fontId="15" fillId="0" borderId="8" xfId="105" quotePrefix="1" applyFont="1" applyBorder="1" applyAlignment="1">
      <alignment horizontal="center" vertical="center"/>
    </xf>
    <xf numFmtId="0" fontId="79" fillId="0" borderId="8" xfId="0" applyFont="1" applyFill="1" applyBorder="1" applyAlignment="1">
      <alignment horizontal="center" wrapText="1"/>
    </xf>
    <xf numFmtId="0" fontId="7" fillId="0" borderId="8" xfId="0" applyFont="1" applyFill="1" applyBorder="1" applyAlignment="1">
      <alignment horizontal="center" wrapText="1"/>
    </xf>
    <xf numFmtId="0" fontId="78" fillId="0" borderId="8" xfId="0" applyFont="1" applyFill="1" applyBorder="1" applyAlignment="1">
      <alignment horizontal="center" vertical="top" wrapText="1"/>
    </xf>
    <xf numFmtId="0" fontId="15" fillId="0" borderId="0" xfId="0" applyFont="1"/>
    <xf numFmtId="0" fontId="15" fillId="0" borderId="0" xfId="0" applyFont="1" applyAlignment="1">
      <alignment wrapText="1"/>
    </xf>
    <xf numFmtId="0" fontId="116" fillId="0" borderId="0" xfId="105" applyFont="1" applyAlignment="1">
      <alignment horizontal="center"/>
    </xf>
    <xf numFmtId="0" fontId="117" fillId="0" borderId="0" xfId="105" applyFont="1" applyAlignment="1">
      <alignment horizontal="center" wrapText="1"/>
    </xf>
    <xf numFmtId="0" fontId="15" fillId="0" borderId="8" xfId="105" applyFont="1" applyFill="1" applyBorder="1" applyAlignment="1">
      <alignment horizontal="center" vertical="center"/>
    </xf>
    <xf numFmtId="0" fontId="15" fillId="0" borderId="8" xfId="105" applyFont="1" applyFill="1" applyBorder="1" applyAlignment="1">
      <alignment horizontal="center" vertical="center" wrapText="1"/>
    </xf>
    <xf numFmtId="0" fontId="15" fillId="0" borderId="8" xfId="105" applyFont="1" applyBorder="1" applyAlignment="1">
      <alignment horizontal="left" vertical="top" wrapText="1"/>
    </xf>
    <xf numFmtId="0" fontId="102" fillId="0" borderId="0" xfId="105" applyFont="1" applyBorder="1" applyAlignment="1">
      <alignment horizontal="center"/>
    </xf>
    <xf numFmtId="0" fontId="120" fillId="0" borderId="0" xfId="0" applyFont="1"/>
    <xf numFmtId="2" fontId="120" fillId="0" borderId="0" xfId="0" applyNumberFormat="1" applyFont="1"/>
    <xf numFmtId="9" fontId="120" fillId="0" borderId="0" xfId="90" applyFont="1"/>
    <xf numFmtId="177" fontId="120" fillId="0" borderId="0" xfId="90" applyNumberFormat="1" applyFont="1"/>
    <xf numFmtId="0" fontId="120" fillId="0" borderId="0" xfId="0" applyFont="1" applyAlignment="1">
      <alignment wrapText="1"/>
    </xf>
    <xf numFmtId="0" fontId="116" fillId="0" borderId="0" xfId="105" applyFont="1" applyAlignment="1">
      <alignment horizontal="center"/>
    </xf>
    <xf numFmtId="0" fontId="101" fillId="0" borderId="8" xfId="0" applyFont="1" applyFill="1" applyBorder="1"/>
    <xf numFmtId="0" fontId="102" fillId="0" borderId="8" xfId="0" applyFont="1" applyFill="1" applyBorder="1" applyAlignment="1">
      <alignment vertical="center" wrapText="1"/>
    </xf>
    <xf numFmtId="0" fontId="102" fillId="0" borderId="8" xfId="0" applyFont="1" applyFill="1" applyBorder="1" applyAlignment="1">
      <alignment horizontal="left" vertical="center" wrapText="1"/>
    </xf>
    <xf numFmtId="169" fontId="102" fillId="0" borderId="8" xfId="0" applyNumberFormat="1" applyFont="1" applyFill="1" applyBorder="1" applyAlignment="1">
      <alignment horizontal="center" vertical="center" wrapText="1"/>
    </xf>
    <xf numFmtId="0" fontId="101" fillId="0" borderId="8" xfId="0" applyFont="1" applyFill="1" applyBorder="1" applyAlignment="1">
      <alignment horizontal="center" vertical="center" wrapText="1"/>
    </xf>
    <xf numFmtId="170" fontId="101" fillId="0" borderId="8" xfId="0" applyNumberFormat="1" applyFont="1" applyFill="1" applyBorder="1" applyAlignment="1">
      <alignment horizontal="center" vertical="center" wrapText="1"/>
    </xf>
    <xf numFmtId="170" fontId="102" fillId="0" borderId="8" xfId="0" applyNumberFormat="1" applyFont="1" applyFill="1" applyBorder="1" applyAlignment="1">
      <alignment horizontal="center" vertical="center" wrapText="1"/>
    </xf>
    <xf numFmtId="170" fontId="102" fillId="0" borderId="8" xfId="0" applyNumberFormat="1" applyFont="1" applyFill="1" applyBorder="1" applyAlignment="1">
      <alignment horizontal="left" vertical="center" wrapText="1"/>
    </xf>
    <xf numFmtId="0" fontId="101" fillId="0" borderId="8" xfId="0" applyFont="1" applyFill="1" applyBorder="1" applyAlignment="1">
      <alignment horizontal="left" vertical="top" wrapText="1"/>
    </xf>
    <xf numFmtId="2" fontId="101" fillId="0" borderId="8" xfId="0" applyNumberFormat="1" applyFont="1" applyFill="1" applyBorder="1" applyAlignment="1">
      <alignment horizontal="center" vertical="top" wrapText="1"/>
    </xf>
    <xf numFmtId="2" fontId="101" fillId="0" borderId="8" xfId="0" applyNumberFormat="1" applyFont="1" applyFill="1" applyBorder="1" applyAlignment="1">
      <alignment horizontal="right" vertical="top" wrapText="1"/>
    </xf>
    <xf numFmtId="170" fontId="102" fillId="0" borderId="8" xfId="0" applyNumberFormat="1" applyFont="1" applyFill="1" applyBorder="1" applyAlignment="1">
      <alignment horizontal="center" vertical="top" wrapText="1"/>
    </xf>
    <xf numFmtId="0" fontId="101" fillId="0" borderId="8" xfId="0" applyFont="1" applyFill="1" applyBorder="1" applyAlignment="1">
      <alignment horizontal="center" vertical="top" shrinkToFit="1"/>
    </xf>
    <xf numFmtId="170" fontId="101" fillId="0" borderId="8" xfId="0" applyNumberFormat="1" applyFont="1" applyFill="1" applyBorder="1" applyAlignment="1">
      <alignment horizontal="center" vertical="top" wrapText="1"/>
    </xf>
    <xf numFmtId="2" fontId="101" fillId="0" borderId="8" xfId="0" applyNumberFormat="1" applyFont="1" applyFill="1" applyBorder="1" applyAlignment="1">
      <alignment horizontal="center" vertical="top" shrinkToFit="1"/>
    </xf>
    <xf numFmtId="2" fontId="102" fillId="0" borderId="8" xfId="0" applyNumberFormat="1" applyFont="1" applyFill="1" applyBorder="1" applyAlignment="1">
      <alignment horizontal="center" vertical="top" shrinkToFit="1"/>
    </xf>
    <xf numFmtId="175" fontId="101" fillId="0" borderId="8" xfId="0" applyNumberFormat="1" applyFont="1" applyFill="1" applyBorder="1" applyAlignment="1">
      <alignment horizontal="center" vertical="top" wrapText="1"/>
    </xf>
    <xf numFmtId="2" fontId="102" fillId="0" borderId="8" xfId="0" applyNumberFormat="1" applyFont="1" applyFill="1" applyBorder="1" applyAlignment="1">
      <alignment horizontal="center" vertical="top" wrapText="1"/>
    </xf>
    <xf numFmtId="169" fontId="102" fillId="0" borderId="8" xfId="0" applyNumberFormat="1" applyFont="1" applyBorder="1" applyAlignment="1">
      <alignment horizontal="center" vertical="top" wrapText="1"/>
    </xf>
    <xf numFmtId="2" fontId="102" fillId="0" borderId="8" xfId="0" applyNumberFormat="1" applyFont="1" applyBorder="1" applyAlignment="1">
      <alignment horizontal="center" vertical="top" wrapText="1"/>
    </xf>
    <xf numFmtId="2" fontId="102" fillId="0" borderId="8" xfId="0" applyNumberFormat="1" applyFont="1" applyBorder="1" applyAlignment="1">
      <alignment horizontal="center" vertical="top"/>
    </xf>
    <xf numFmtId="2" fontId="102" fillId="0" borderId="8" xfId="0" applyNumberFormat="1" applyFont="1" applyBorder="1" applyAlignment="1">
      <alignment vertical="top" wrapText="1"/>
    </xf>
    <xf numFmtId="0" fontId="102" fillId="0" borderId="8" xfId="0" applyFont="1" applyFill="1" applyBorder="1" applyAlignment="1">
      <alignment vertical="top"/>
    </xf>
    <xf numFmtId="169" fontId="102" fillId="0" borderId="8" xfId="0" applyNumberFormat="1" applyFont="1" applyFill="1" applyBorder="1" applyAlignment="1">
      <alignment horizontal="center" vertical="top" wrapText="1"/>
    </xf>
    <xf numFmtId="169" fontId="102" fillId="0" borderId="8" xfId="0" applyNumberFormat="1" applyFont="1" applyFill="1" applyBorder="1" applyAlignment="1">
      <alignment horizontal="left" vertical="top" wrapText="1"/>
    </xf>
    <xf numFmtId="169" fontId="101" fillId="0" borderId="8" xfId="0" applyNumberFormat="1" applyFont="1" applyFill="1" applyBorder="1" applyAlignment="1">
      <alignment horizontal="center" vertical="top" wrapText="1"/>
    </xf>
    <xf numFmtId="0" fontId="102" fillId="0" borderId="8" xfId="0" applyFont="1" applyFill="1" applyBorder="1" applyAlignment="1">
      <alignment horizontal="left" vertical="top"/>
    </xf>
    <xf numFmtId="2" fontId="101" fillId="0" borderId="8" xfId="0" applyNumberFormat="1" applyFont="1" applyFill="1" applyBorder="1" applyAlignment="1">
      <alignment horizontal="center" vertical="center" wrapText="1"/>
    </xf>
    <xf numFmtId="2" fontId="122" fillId="0" borderId="8" xfId="0" applyNumberFormat="1" applyFont="1" applyFill="1" applyBorder="1" applyAlignment="1">
      <alignment horizontal="center" vertical="top" wrapText="1"/>
    </xf>
    <xf numFmtId="175" fontId="101" fillId="0" borderId="8" xfId="90" applyNumberFormat="1" applyFont="1" applyFill="1" applyBorder="1" applyAlignment="1">
      <alignment horizontal="center" vertical="top" wrapText="1"/>
    </xf>
    <xf numFmtId="2" fontId="101" fillId="0" borderId="8" xfId="0" applyNumberFormat="1" applyFont="1" applyFill="1" applyBorder="1" applyAlignment="1">
      <alignment horizontal="center"/>
    </xf>
    <xf numFmtId="0" fontId="101" fillId="0" borderId="8" xfId="0" applyFont="1" applyFill="1" applyBorder="1" applyAlignment="1">
      <alignment horizontal="left" vertical="center" wrapText="1"/>
    </xf>
    <xf numFmtId="0" fontId="101" fillId="0" borderId="8" xfId="0" applyFont="1" applyFill="1" applyBorder="1" applyAlignment="1">
      <alignment horizontal="left" vertical="center"/>
    </xf>
    <xf numFmtId="0" fontId="101" fillId="0" borderId="8" xfId="66" applyFont="1" applyFill="1" applyBorder="1" applyAlignment="1">
      <alignment horizontal="left" vertical="top"/>
    </xf>
    <xf numFmtId="169" fontId="102" fillId="0" borderId="8" xfId="66" applyNumberFormat="1" applyFont="1" applyFill="1" applyBorder="1" applyAlignment="1">
      <alignment horizontal="left" vertical="top" wrapText="1"/>
    </xf>
    <xf numFmtId="0" fontId="102" fillId="0" borderId="8" xfId="0" applyFont="1" applyFill="1" applyBorder="1" applyAlignment="1">
      <alignment horizontal="left" vertical="center"/>
    </xf>
    <xf numFmtId="2" fontId="0" fillId="0" borderId="0" xfId="0" applyNumberFormat="1"/>
    <xf numFmtId="170" fontId="78" fillId="41" borderId="8" xfId="0" applyNumberFormat="1" applyFont="1" applyFill="1" applyBorder="1" applyAlignment="1">
      <alignment horizontal="center" vertical="center" wrapText="1"/>
    </xf>
    <xf numFmtId="0" fontId="78" fillId="0" borderId="8" xfId="0" applyFont="1" applyBorder="1" applyAlignment="1">
      <alignment vertical="center"/>
    </xf>
    <xf numFmtId="179" fontId="101" fillId="0" borderId="8" xfId="0" applyNumberFormat="1" applyFont="1" applyFill="1" applyBorder="1" applyAlignment="1">
      <alignment horizontal="center" vertical="center"/>
    </xf>
    <xf numFmtId="0" fontId="101" fillId="0" borderId="8" xfId="0" applyFont="1" applyFill="1" applyBorder="1" applyAlignment="1">
      <alignment vertical="center" wrapText="1"/>
    </xf>
    <xf numFmtId="2" fontId="97" fillId="0" borderId="8" xfId="0" applyNumberFormat="1" applyFont="1" applyBorder="1" applyAlignment="1">
      <alignment horizontal="center" vertical="center"/>
    </xf>
    <xf numFmtId="1" fontId="97" fillId="0" borderId="8" xfId="0" applyNumberFormat="1" applyFont="1" applyFill="1" applyBorder="1" applyAlignment="1">
      <alignment horizontal="center" vertical="center"/>
    </xf>
    <xf numFmtId="0" fontId="0" fillId="0" borderId="0" xfId="0" applyAlignment="1">
      <alignment horizontal="center"/>
    </xf>
    <xf numFmtId="2" fontId="0" fillId="0" borderId="8" xfId="0" applyNumberFormat="1" applyBorder="1"/>
    <xf numFmtId="9" fontId="97" fillId="0" borderId="8" xfId="0" applyNumberFormat="1" applyFont="1" applyBorder="1"/>
    <xf numFmtId="10" fontId="97" fillId="0" borderId="8" xfId="0" applyNumberFormat="1" applyFont="1" applyBorder="1"/>
    <xf numFmtId="0" fontId="97" fillId="0" borderId="0" xfId="0" applyFont="1" applyFill="1" applyBorder="1" applyAlignment="1">
      <alignment vertical="top" wrapText="1"/>
    </xf>
    <xf numFmtId="0" fontId="97" fillId="0" borderId="8" xfId="0" applyFont="1" applyFill="1" applyBorder="1" applyAlignment="1">
      <alignment horizontal="left" vertical="top" wrapText="1"/>
    </xf>
    <xf numFmtId="0" fontId="101" fillId="0" borderId="8" xfId="0" applyFont="1" applyBorder="1" applyAlignment="1">
      <alignment horizontal="justify" vertical="top" wrapText="1"/>
    </xf>
    <xf numFmtId="0" fontId="101" fillId="0" borderId="8" xfId="0" applyFont="1" applyFill="1" applyBorder="1" applyAlignment="1">
      <alignment horizontal="center" vertical="center"/>
    </xf>
    <xf numFmtId="2" fontId="101" fillId="0" borderId="8" xfId="0" applyNumberFormat="1" applyFont="1" applyFill="1" applyBorder="1" applyAlignment="1">
      <alignment horizontal="center" vertical="center" shrinkToFit="1"/>
    </xf>
    <xf numFmtId="43" fontId="102" fillId="0" borderId="8" xfId="106" applyFont="1" applyFill="1" applyBorder="1" applyAlignment="1">
      <alignment horizontal="right" vertical="center" shrinkToFit="1"/>
    </xf>
    <xf numFmtId="167" fontId="101" fillId="0" borderId="8" xfId="0" applyNumberFormat="1" applyFont="1" applyFill="1" applyBorder="1" applyAlignment="1">
      <alignment horizontal="center" vertical="center"/>
    </xf>
    <xf numFmtId="43" fontId="101" fillId="0" borderId="8" xfId="106" applyFont="1" applyFill="1" applyBorder="1" applyAlignment="1">
      <alignment horizontal="right"/>
    </xf>
    <xf numFmtId="2" fontId="102" fillId="0" borderId="8" xfId="0" applyNumberFormat="1" applyFont="1" applyFill="1" applyBorder="1" applyAlignment="1">
      <alignment horizontal="center"/>
    </xf>
    <xf numFmtId="0" fontId="102" fillId="0" borderId="8" xfId="0" applyFont="1" applyFill="1" applyBorder="1" applyAlignment="1">
      <alignment horizontal="center" vertical="justify" shrinkToFit="1"/>
    </xf>
    <xf numFmtId="2" fontId="102" fillId="0" borderId="8" xfId="106" applyNumberFormat="1" applyFont="1" applyFill="1" applyBorder="1" applyAlignment="1">
      <alignment horizontal="right" vertical="center" shrinkToFit="1"/>
    </xf>
    <xf numFmtId="0" fontId="101" fillId="0" borderId="8" xfId="0" applyFont="1" applyFill="1" applyBorder="1" applyAlignment="1">
      <alignment vertical="top" wrapText="1"/>
    </xf>
    <xf numFmtId="0" fontId="102" fillId="0" borderId="8" xfId="0" applyFont="1" applyFill="1" applyBorder="1" applyAlignment="1">
      <alignment vertical="center"/>
    </xf>
    <xf numFmtId="0" fontId="102" fillId="0" borderId="8" xfId="0" applyFont="1" applyFill="1" applyBorder="1" applyAlignment="1">
      <alignment horizontal="left" vertical="justify" shrinkToFit="1"/>
    </xf>
    <xf numFmtId="9" fontId="101" fillId="0" borderId="8" xfId="0" applyNumberFormat="1" applyFont="1" applyFill="1" applyBorder="1" applyAlignment="1">
      <alignment horizontal="center" vertical="center"/>
    </xf>
    <xf numFmtId="0" fontId="102" fillId="0" borderId="8" xfId="0" applyFont="1" applyFill="1" applyBorder="1" applyAlignment="1">
      <alignment horizontal="center" vertical="top"/>
    </xf>
    <xf numFmtId="0" fontId="97" fillId="0" borderId="0" xfId="0" applyFont="1" applyFill="1" applyBorder="1" applyAlignment="1">
      <alignment horizontal="center"/>
    </xf>
    <xf numFmtId="1" fontId="97" fillId="0" borderId="0" xfId="0" applyNumberFormat="1" applyFont="1" applyFill="1" applyBorder="1" applyAlignment="1">
      <alignment horizontal="center"/>
    </xf>
    <xf numFmtId="0" fontId="101" fillId="0" borderId="0" xfId="0" applyFont="1" applyFill="1" applyBorder="1" applyAlignment="1">
      <alignment horizontal="center"/>
    </xf>
    <xf numFmtId="0" fontId="97" fillId="0" borderId="0" xfId="0" applyFont="1" applyFill="1" applyBorder="1" applyAlignment="1">
      <alignment horizontal="center" vertical="top"/>
    </xf>
    <xf numFmtId="0" fontId="97" fillId="0" borderId="0" xfId="0" applyFont="1" applyFill="1" applyBorder="1" applyAlignment="1">
      <alignment horizontal="center" vertical="top" wrapText="1"/>
    </xf>
    <xf numFmtId="169" fontId="97" fillId="0" borderId="0" xfId="0" applyNumberFormat="1" applyFont="1" applyFill="1" applyBorder="1" applyAlignment="1">
      <alignment horizontal="left" vertical="top" wrapText="1"/>
    </xf>
    <xf numFmtId="1" fontId="97" fillId="0" borderId="0" xfId="0" applyNumberFormat="1" applyFont="1" applyFill="1" applyBorder="1" applyAlignment="1">
      <alignment horizontal="center" vertical="top" wrapText="1"/>
    </xf>
    <xf numFmtId="0" fontId="44" fillId="0" borderId="0" xfId="0" applyFont="1" applyFill="1" applyBorder="1" applyAlignment="1">
      <alignment horizontal="center" vertical="top"/>
    </xf>
    <xf numFmtId="1" fontId="44" fillId="0" borderId="0" xfId="0" applyNumberFormat="1" applyFont="1" applyFill="1" applyBorder="1" applyAlignment="1">
      <alignment horizontal="center" vertical="top"/>
    </xf>
    <xf numFmtId="0" fontId="97" fillId="0" borderId="0" xfId="0" applyFont="1" applyFill="1" applyBorder="1" applyAlignment="1">
      <alignment horizontal="center" wrapText="1"/>
    </xf>
    <xf numFmtId="169" fontId="97" fillId="0" borderId="0" xfId="0" applyNumberFormat="1" applyFont="1" applyFill="1" applyBorder="1" applyAlignment="1">
      <alignment horizontal="center" vertical="top" wrapText="1"/>
    </xf>
    <xf numFmtId="2" fontId="97" fillId="0" borderId="0" xfId="0" applyNumberFormat="1" applyFont="1" applyFill="1" applyBorder="1" applyAlignment="1">
      <alignment horizontal="center" vertical="top" wrapText="1"/>
    </xf>
    <xf numFmtId="10" fontId="44" fillId="0" borderId="0" xfId="0" applyNumberFormat="1" applyFont="1" applyFill="1" applyBorder="1" applyAlignment="1">
      <alignment horizontal="center"/>
    </xf>
    <xf numFmtId="2" fontId="97" fillId="0" borderId="0" xfId="0" applyNumberFormat="1" applyFont="1" applyFill="1" applyBorder="1" applyAlignment="1">
      <alignment horizontal="center"/>
    </xf>
    <xf numFmtId="2" fontId="44" fillId="0" borderId="0" xfId="0" applyNumberFormat="1" applyFont="1" applyFill="1" applyBorder="1" applyAlignment="1">
      <alignment horizontal="center"/>
    </xf>
    <xf numFmtId="0" fontId="101" fillId="0" borderId="8" xfId="66" applyFont="1" applyFill="1" applyBorder="1" applyAlignment="1">
      <alignment vertical="top" wrapText="1"/>
    </xf>
    <xf numFmtId="0" fontId="101" fillId="0" borderId="8" xfId="0" applyFont="1" applyFill="1" applyBorder="1" applyAlignment="1">
      <alignment horizontal="left" vertical="justify" shrinkToFit="1"/>
    </xf>
    <xf numFmtId="0" fontId="97" fillId="0" borderId="8" xfId="0" applyFont="1" applyBorder="1" applyAlignment="1">
      <alignment horizontal="center" vertical="center"/>
    </xf>
    <xf numFmtId="0" fontId="102" fillId="0" borderId="8" xfId="0" applyFont="1" applyFill="1" applyBorder="1" applyAlignment="1">
      <alignment horizontal="center" vertical="top" wrapText="1"/>
    </xf>
    <xf numFmtId="0" fontId="102" fillId="0" borderId="8" xfId="0" applyFont="1" applyFill="1" applyBorder="1" applyAlignment="1">
      <alignment horizontal="center" vertical="center" wrapText="1"/>
    </xf>
    <xf numFmtId="169" fontId="102" fillId="0" borderId="8" xfId="0" applyNumberFormat="1" applyFont="1" applyBorder="1" applyAlignment="1">
      <alignment horizontal="justify" vertical="top" wrapText="1"/>
    </xf>
    <xf numFmtId="169" fontId="101" fillId="0" borderId="8" xfId="0" applyNumberFormat="1" applyFont="1" applyBorder="1" applyAlignment="1">
      <alignment horizontal="justify" vertical="top" wrapText="1"/>
    </xf>
    <xf numFmtId="0" fontId="78" fillId="0" borderId="0" xfId="0" applyFont="1" applyBorder="1" applyAlignment="1">
      <alignment horizontal="center" vertical="top" wrapText="1"/>
    </xf>
    <xf numFmtId="0" fontId="78" fillId="0" borderId="8" xfId="0" applyFont="1" applyFill="1" applyBorder="1" applyAlignment="1">
      <alignment horizontal="center" textRotation="90" wrapText="1"/>
    </xf>
    <xf numFmtId="0" fontId="10" fillId="0" borderId="8" xfId="0" applyFont="1" applyFill="1" applyBorder="1" applyAlignment="1">
      <alignment horizontal="center" wrapText="1"/>
    </xf>
    <xf numFmtId="0" fontId="78" fillId="0" borderId="8" xfId="0" applyFont="1" applyFill="1" applyBorder="1" applyAlignment="1">
      <alignment horizontal="center" vertical="center" wrapText="1"/>
    </xf>
    <xf numFmtId="169" fontId="101" fillId="0" borderId="8" xfId="0" applyNumberFormat="1" applyFont="1" applyFill="1" applyBorder="1" applyAlignment="1">
      <alignment horizontal="left" vertical="top" wrapText="1"/>
    </xf>
    <xf numFmtId="2" fontId="102" fillId="0" borderId="8" xfId="0" applyNumberFormat="1" applyFont="1" applyFill="1" applyBorder="1" applyAlignment="1">
      <alignment horizontal="center" vertical="center" wrapText="1"/>
    </xf>
    <xf numFmtId="0" fontId="102" fillId="0" borderId="8" xfId="0" applyFont="1" applyFill="1" applyBorder="1" applyAlignment="1">
      <alignment horizontal="left" vertical="top" wrapText="1"/>
    </xf>
    <xf numFmtId="0" fontId="78" fillId="0" borderId="0" xfId="0" applyFont="1" applyFill="1" applyBorder="1" applyAlignment="1">
      <alignment horizontal="center" vertical="top" wrapText="1"/>
    </xf>
    <xf numFmtId="0" fontId="97" fillId="0" borderId="0" xfId="0" applyFont="1" applyBorder="1" applyAlignment="1">
      <alignment horizontal="left"/>
    </xf>
    <xf numFmtId="0" fontId="97" fillId="0" borderId="8" xfId="0" applyFont="1" applyFill="1" applyBorder="1" applyAlignment="1">
      <alignment horizontal="center"/>
    </xf>
    <xf numFmtId="0" fontId="97" fillId="0" borderId="8" xfId="0" applyFont="1" applyFill="1" applyBorder="1" applyAlignment="1">
      <alignment horizontal="left"/>
    </xf>
    <xf numFmtId="0" fontId="97" fillId="0" borderId="0" xfId="0" applyFont="1" applyFill="1" applyBorder="1" applyAlignment="1">
      <alignment horizontal="left"/>
    </xf>
    <xf numFmtId="0" fontId="97" fillId="0" borderId="8" xfId="0" applyFont="1" applyFill="1" applyBorder="1" applyAlignment="1">
      <alignment horizontal="right"/>
    </xf>
    <xf numFmtId="1" fontId="101" fillId="0" borderId="8" xfId="0" applyNumberFormat="1" applyFont="1" applyFill="1" applyBorder="1" applyAlignment="1">
      <alignment horizontal="center"/>
    </xf>
    <xf numFmtId="2" fontId="102" fillId="0" borderId="8" xfId="0" applyNumberFormat="1" applyFont="1" applyFill="1" applyBorder="1" applyAlignment="1">
      <alignment horizontal="center" shrinkToFit="1"/>
    </xf>
    <xf numFmtId="43" fontId="102" fillId="0" borderId="8" xfId="106" applyFont="1" applyFill="1" applyBorder="1" applyAlignment="1">
      <alignment horizontal="center" shrinkToFit="1"/>
    </xf>
    <xf numFmtId="0" fontId="97" fillId="0" borderId="8" xfId="0" applyFont="1" applyBorder="1" applyAlignment="1">
      <alignment horizontal="center" wrapText="1"/>
    </xf>
    <xf numFmtId="2" fontId="102" fillId="0" borderId="8" xfId="0" applyNumberFormat="1" applyFont="1" applyBorder="1" applyAlignment="1">
      <alignment horizontal="center" wrapText="1"/>
    </xf>
    <xf numFmtId="169" fontId="101" fillId="0" borderId="8" xfId="0" applyNumberFormat="1" applyFont="1" applyFill="1" applyBorder="1" applyAlignment="1">
      <alignment horizontal="center" vertical="center" wrapText="1"/>
    </xf>
    <xf numFmtId="2" fontId="102" fillId="0" borderId="8" xfId="0" applyNumberFormat="1" applyFont="1" applyFill="1" applyBorder="1" applyAlignment="1">
      <alignment horizontal="right" vertical="top" wrapText="1"/>
    </xf>
    <xf numFmtId="0" fontId="102" fillId="0" borderId="0" xfId="0" applyFont="1" applyFill="1" applyBorder="1" applyAlignment="1">
      <alignment horizontal="center"/>
    </xf>
    <xf numFmtId="0" fontId="97" fillId="0" borderId="0" xfId="0" applyNumberFormat="1" applyFont="1" applyFill="1" applyBorder="1" applyAlignment="1">
      <alignment horizontal="center"/>
    </xf>
    <xf numFmtId="2" fontId="101" fillId="0" borderId="8" xfId="106" applyNumberFormat="1" applyFont="1" applyFill="1" applyBorder="1" applyAlignment="1">
      <alignment horizontal="right" vertical="center" shrinkToFit="1"/>
    </xf>
    <xf numFmtId="2" fontId="101" fillId="0" borderId="8" xfId="0" applyNumberFormat="1" applyFont="1" applyBorder="1" applyAlignment="1">
      <alignment horizontal="center" wrapText="1"/>
    </xf>
    <xf numFmtId="0" fontId="101" fillId="0" borderId="0" xfId="0" applyFont="1" applyFill="1" applyBorder="1" applyAlignment="1">
      <alignment horizontal="center" vertical="top" wrapText="1"/>
    </xf>
    <xf numFmtId="169" fontId="101" fillId="0" borderId="8" xfId="0" applyNumberFormat="1" applyFont="1" applyFill="1" applyBorder="1" applyAlignment="1">
      <alignment horizontal="justify" vertical="top" wrapText="1"/>
    </xf>
    <xf numFmtId="169" fontId="101" fillId="0" borderId="8" xfId="0" applyNumberFormat="1" applyFont="1" applyBorder="1" applyAlignment="1">
      <alignment horizontal="center" vertical="center"/>
    </xf>
    <xf numFmtId="2" fontId="101" fillId="0" borderId="8" xfId="0" applyNumberFormat="1" applyFont="1" applyBorder="1" applyAlignment="1">
      <alignment horizontal="center" vertical="center" wrapText="1"/>
    </xf>
    <xf numFmtId="2" fontId="101" fillId="0" borderId="8" xfId="0" applyNumberFormat="1" applyFont="1" applyBorder="1" applyAlignment="1">
      <alignment horizontal="center" vertical="center"/>
    </xf>
    <xf numFmtId="2" fontId="122" fillId="0" borderId="8" xfId="0" applyNumberFormat="1" applyFont="1" applyBorder="1" applyAlignment="1">
      <alignment horizontal="center" vertical="center"/>
    </xf>
    <xf numFmtId="169" fontId="101" fillId="0" borderId="8" xfId="0" applyNumberFormat="1" applyFont="1" applyFill="1" applyBorder="1" applyAlignment="1">
      <alignment horizontal="center" vertical="center"/>
    </xf>
    <xf numFmtId="175" fontId="101" fillId="0" borderId="8" xfId="0" applyNumberFormat="1" applyFont="1" applyFill="1" applyBorder="1" applyAlignment="1">
      <alignment horizontal="center" vertical="center" wrapText="1"/>
    </xf>
    <xf numFmtId="0" fontId="101" fillId="0" borderId="0" xfId="0" applyFont="1" applyFill="1" applyBorder="1"/>
    <xf numFmtId="0" fontId="101" fillId="0" borderId="0" xfId="0" applyFont="1" applyFill="1" applyBorder="1" applyAlignment="1">
      <alignment horizontal="center" vertical="center" wrapText="1"/>
    </xf>
    <xf numFmtId="170" fontId="101" fillId="0" borderId="0" xfId="0" applyNumberFormat="1" applyFont="1" applyFill="1" applyBorder="1" applyAlignment="1">
      <alignment horizontal="center" vertical="center" wrapText="1"/>
    </xf>
    <xf numFmtId="170" fontId="102" fillId="0" borderId="0" xfId="0" applyNumberFormat="1" applyFont="1" applyFill="1" applyBorder="1" applyAlignment="1">
      <alignment horizontal="center" vertical="center" wrapText="1"/>
    </xf>
    <xf numFmtId="0" fontId="101" fillId="0" borderId="0" xfId="0" applyFont="1" applyFill="1" applyBorder="1" applyAlignment="1">
      <alignment vertical="center" wrapText="1"/>
    </xf>
    <xf numFmtId="0" fontId="101" fillId="0" borderId="0" xfId="0" applyFont="1" applyFill="1" applyBorder="1" applyAlignment="1">
      <alignment horizontal="left" vertical="top" wrapText="1"/>
    </xf>
    <xf numFmtId="0" fontId="102" fillId="0" borderId="0" xfId="0" applyFont="1" applyFill="1" applyBorder="1" applyAlignment="1">
      <alignment horizontal="left" vertical="top" wrapText="1"/>
    </xf>
    <xf numFmtId="2" fontId="121" fillId="0" borderId="0" xfId="0" applyNumberFormat="1" applyFont="1" applyBorder="1" applyAlignment="1">
      <alignment horizontal="right" wrapText="1"/>
    </xf>
    <xf numFmtId="2" fontId="101" fillId="0" borderId="0" xfId="0" applyNumberFormat="1" applyFont="1" applyFill="1" applyBorder="1" applyAlignment="1">
      <alignment horizontal="right" vertical="center"/>
    </xf>
    <xf numFmtId="0" fontId="102" fillId="0" borderId="0" xfId="0" applyFont="1" applyFill="1" applyBorder="1" applyAlignment="1">
      <alignment horizontal="center" vertical="top" wrapText="1"/>
    </xf>
    <xf numFmtId="170" fontId="101" fillId="0" borderId="0" xfId="0" applyNumberFormat="1" applyFont="1" applyFill="1" applyBorder="1" applyAlignment="1">
      <alignment horizontal="center" vertical="center"/>
    </xf>
    <xf numFmtId="0" fontId="102" fillId="0" borderId="0" xfId="0" applyFont="1" applyFill="1" applyBorder="1"/>
    <xf numFmtId="169" fontId="101" fillId="0" borderId="0" xfId="0" applyNumberFormat="1" applyFont="1" applyFill="1" applyBorder="1" applyAlignment="1">
      <alignment horizontal="center" vertical="top" wrapText="1"/>
    </xf>
    <xf numFmtId="0" fontId="122" fillId="0" borderId="0" xfId="0" applyFont="1" applyFill="1" applyBorder="1"/>
    <xf numFmtId="169" fontId="79" fillId="0" borderId="0" xfId="0" applyNumberFormat="1" applyFont="1" applyFill="1" applyBorder="1" applyAlignment="1">
      <alignment horizontal="justify" vertical="top" wrapText="1"/>
    </xf>
    <xf numFmtId="2" fontId="79" fillId="0" borderId="0" xfId="0" applyNumberFormat="1" applyFont="1" applyFill="1" applyBorder="1" applyAlignment="1">
      <alignment horizontal="center" vertical="center" wrapText="1"/>
    </xf>
    <xf numFmtId="2" fontId="79" fillId="0" borderId="0" xfId="0" applyNumberFormat="1" applyFont="1" applyFill="1" applyBorder="1" applyAlignment="1">
      <alignment horizontal="right" vertical="center" wrapText="1"/>
    </xf>
    <xf numFmtId="0" fontId="78" fillId="0" borderId="0" xfId="0" applyFont="1" applyFill="1" applyBorder="1" applyAlignment="1">
      <alignment wrapText="1"/>
    </xf>
    <xf numFmtId="170" fontId="78" fillId="0" borderId="0" xfId="0" applyNumberFormat="1" applyFont="1" applyFill="1" applyBorder="1" applyAlignment="1">
      <alignment horizontal="center" vertical="top" wrapText="1"/>
    </xf>
    <xf numFmtId="0" fontId="78" fillId="0" borderId="0" xfId="0" applyFont="1" applyFill="1" applyBorder="1" applyAlignment="1">
      <alignment horizontal="justify" vertical="top" wrapText="1"/>
    </xf>
    <xf numFmtId="2" fontId="78" fillId="0" borderId="0" xfId="0" applyNumberFormat="1" applyFont="1" applyFill="1" applyBorder="1" applyAlignment="1">
      <alignment horizontal="center" vertical="top" shrinkToFit="1"/>
    </xf>
    <xf numFmtId="2" fontId="79" fillId="0" borderId="0" xfId="0" applyNumberFormat="1" applyFont="1" applyFill="1" applyBorder="1" applyAlignment="1">
      <alignment horizontal="center" vertical="top" wrapText="1"/>
    </xf>
    <xf numFmtId="167" fontId="79" fillId="0" borderId="0" xfId="0" applyNumberFormat="1" applyFont="1" applyFill="1" applyBorder="1" applyAlignment="1">
      <alignment horizontal="center" vertical="top" wrapText="1"/>
    </xf>
    <xf numFmtId="0" fontId="78" fillId="0" borderId="0" xfId="0" applyFont="1" applyBorder="1" applyAlignment="1">
      <alignment vertical="center"/>
    </xf>
    <xf numFmtId="0" fontId="78" fillId="0" borderId="0" xfId="0" applyFont="1" applyFill="1" applyBorder="1" applyAlignment="1">
      <alignment horizontal="center" wrapText="1"/>
    </xf>
    <xf numFmtId="167" fontId="79" fillId="0" borderId="0" xfId="0" applyNumberFormat="1" applyFont="1" applyFill="1" applyBorder="1" applyAlignment="1">
      <alignment horizontal="center" vertical="center" wrapText="1"/>
    </xf>
    <xf numFmtId="0" fontId="78" fillId="0" borderId="0" xfId="0" applyFont="1" applyFill="1" applyBorder="1" applyAlignment="1">
      <alignment horizontal="center" vertical="center"/>
    </xf>
    <xf numFmtId="169" fontId="78" fillId="0" borderId="0" xfId="0" applyNumberFormat="1" applyFont="1" applyBorder="1" applyAlignment="1">
      <alignment horizontal="center" vertical="center" wrapText="1"/>
    </xf>
    <xf numFmtId="0" fontId="78" fillId="0" borderId="0" xfId="0" applyFont="1" applyBorder="1" applyAlignment="1">
      <alignment horizontal="center" wrapText="1"/>
    </xf>
    <xf numFmtId="2" fontId="79" fillId="0" borderId="0" xfId="0" applyNumberFormat="1" applyFont="1" applyBorder="1" applyAlignment="1">
      <alignment horizontal="center" vertical="center" wrapText="1"/>
    </xf>
    <xf numFmtId="0" fontId="78" fillId="0" borderId="0" xfId="0" applyFont="1" applyBorder="1" applyAlignment="1">
      <alignment horizontal="center" vertical="center"/>
    </xf>
    <xf numFmtId="171" fontId="79" fillId="0" borderId="0" xfId="0" applyNumberFormat="1" applyFont="1" applyFill="1" applyBorder="1" applyAlignment="1">
      <alignment horizontal="center" vertical="top" wrapText="1"/>
    </xf>
    <xf numFmtId="169" fontId="78" fillId="0" borderId="0" xfId="0" applyNumberFormat="1" applyFont="1" applyBorder="1" applyAlignment="1">
      <alignment horizontal="right" vertical="top" wrapText="1"/>
    </xf>
    <xf numFmtId="0" fontId="79" fillId="0" borderId="0" xfId="0" applyFont="1" applyFill="1" applyBorder="1" applyAlignment="1">
      <alignment vertical="top"/>
    </xf>
    <xf numFmtId="0" fontId="97" fillId="0" borderId="8" xfId="0" applyFont="1" applyBorder="1" applyAlignment="1">
      <alignment vertical="center"/>
    </xf>
    <xf numFmtId="2" fontId="114" fillId="0" borderId="8" xfId="0" applyNumberFormat="1" applyFont="1" applyBorder="1" applyAlignment="1">
      <alignment vertical="center"/>
    </xf>
    <xf numFmtId="2" fontId="97" fillId="0" borderId="8" xfId="0" applyNumberFormat="1" applyFont="1" applyBorder="1" applyAlignment="1">
      <alignment vertical="center"/>
    </xf>
    <xf numFmtId="0" fontId="44" fillId="0" borderId="8" xfId="0" applyFont="1" applyBorder="1" applyAlignment="1">
      <alignment vertical="center"/>
    </xf>
    <xf numFmtId="167" fontId="44" fillId="0" borderId="8" xfId="0" applyNumberFormat="1" applyFont="1" applyBorder="1" applyAlignment="1">
      <alignment vertical="center"/>
    </xf>
    <xf numFmtId="0" fontId="97" fillId="0" borderId="8" xfId="0" applyFont="1" applyBorder="1" applyAlignment="1">
      <alignment vertical="center" wrapText="1"/>
    </xf>
    <xf numFmtId="0" fontId="0" fillId="0" borderId="35" xfId="0" applyFill="1" applyBorder="1"/>
    <xf numFmtId="2" fontId="125" fillId="0" borderId="8" xfId="0" applyNumberFormat="1" applyFont="1" applyFill="1" applyBorder="1"/>
    <xf numFmtId="0" fontId="116" fillId="0" borderId="0" xfId="105" applyFont="1" applyAlignment="1">
      <alignment horizontal="center"/>
    </xf>
    <xf numFmtId="0" fontId="117" fillId="0" borderId="0" xfId="105" applyFont="1" applyAlignment="1">
      <alignment horizontal="center" wrapText="1"/>
    </xf>
    <xf numFmtId="2" fontId="102" fillId="0" borderId="8" xfId="0" applyNumberFormat="1" applyFont="1" applyFill="1" applyBorder="1" applyAlignment="1">
      <alignment horizontal="center" vertical="center" wrapText="1"/>
    </xf>
    <xf numFmtId="0" fontId="6" fillId="0" borderId="0" xfId="107"/>
    <xf numFmtId="0" fontId="112" fillId="0" borderId="0" xfId="107" applyFont="1"/>
    <xf numFmtId="2" fontId="119" fillId="0" borderId="8" xfId="107" applyNumberFormat="1" applyFont="1" applyBorder="1" applyAlignment="1">
      <alignment horizontal="center" vertical="center"/>
    </xf>
    <xf numFmtId="2" fontId="6" fillId="0" borderId="0" xfId="107" applyNumberFormat="1"/>
    <xf numFmtId="2" fontId="15" fillId="0" borderId="38" xfId="105" applyNumberFormat="1" applyFont="1" applyFill="1" applyBorder="1" applyAlignment="1">
      <alignment horizontal="center" vertical="center"/>
    </xf>
    <xf numFmtId="0" fontId="75" fillId="0" borderId="8" xfId="107" applyFont="1" applyBorder="1" applyAlignment="1">
      <alignment horizontal="center" vertical="center"/>
    </xf>
    <xf numFmtId="0" fontId="120" fillId="0" borderId="0" xfId="107" applyFont="1"/>
    <xf numFmtId="2" fontId="120" fillId="0" borderId="0" xfId="107" applyNumberFormat="1" applyFont="1"/>
    <xf numFmtId="9" fontId="120" fillId="0" borderId="0" xfId="108" applyFont="1"/>
    <xf numFmtId="0" fontId="126" fillId="0" borderId="0" xfId="107" applyFont="1"/>
    <xf numFmtId="177" fontId="120" fillId="0" borderId="0" xfId="108" applyNumberFormat="1" applyFont="1"/>
    <xf numFmtId="177" fontId="6" fillId="0" borderId="0" xfId="107" applyNumberFormat="1"/>
    <xf numFmtId="0" fontId="120" fillId="0" borderId="0" xfId="107" applyFont="1" applyAlignment="1">
      <alignment wrapText="1"/>
    </xf>
    <xf numFmtId="169" fontId="102" fillId="0" borderId="8" xfId="0" applyNumberFormat="1" applyFont="1" applyBorder="1" applyAlignment="1">
      <alignment horizontal="justify" vertical="top" wrapText="1"/>
    </xf>
    <xf numFmtId="169" fontId="101" fillId="0" borderId="8" xfId="0" applyNumberFormat="1" applyFont="1" applyBorder="1" applyAlignment="1">
      <alignment horizontal="justify" vertical="top" wrapText="1"/>
    </xf>
    <xf numFmtId="2" fontId="101" fillId="0" borderId="0" xfId="0" applyNumberFormat="1" applyFont="1" applyFill="1" applyBorder="1" applyAlignment="1">
      <alignment horizontal="center" vertical="center"/>
    </xf>
    <xf numFmtId="0" fontId="101" fillId="0" borderId="0" xfId="0" applyFont="1" applyFill="1" applyBorder="1" applyAlignment="1">
      <alignment horizontal="center" vertical="center"/>
    </xf>
    <xf numFmtId="169" fontId="102" fillId="0" borderId="8" xfId="0" applyNumberFormat="1" applyFont="1" applyBorder="1" applyAlignment="1">
      <alignment horizontal="center" vertical="top"/>
    </xf>
    <xf numFmtId="0" fontId="101" fillId="0" borderId="0" xfId="0" applyFont="1"/>
    <xf numFmtId="0" fontId="102" fillId="0" borderId="8" xfId="0" applyFont="1" applyBorder="1" applyAlignment="1">
      <alignment horizontal="center" vertical="center" wrapText="1"/>
    </xf>
    <xf numFmtId="0" fontId="101" fillId="0" borderId="0" xfId="0" applyFont="1" applyAlignment="1">
      <alignment wrapText="1"/>
    </xf>
    <xf numFmtId="0" fontId="101" fillId="0" borderId="0" xfId="0" applyFont="1" applyAlignment="1">
      <alignment vertical="center"/>
    </xf>
    <xf numFmtId="0" fontId="78" fillId="0" borderId="8" xfId="0" applyFont="1" applyFill="1" applyBorder="1" applyAlignment="1">
      <alignment horizontal="center" vertical="top"/>
    </xf>
    <xf numFmtId="169" fontId="79" fillId="0" borderId="8" xfId="0" applyNumberFormat="1" applyFont="1" applyFill="1" applyBorder="1" applyAlignment="1">
      <alignment horizontal="center" vertical="center" wrapText="1"/>
    </xf>
    <xf numFmtId="2" fontId="97" fillId="0" borderId="0" xfId="0" applyNumberFormat="1" applyFont="1" applyFill="1" applyBorder="1" applyAlignment="1">
      <alignment horizontal="center" vertical="top"/>
    </xf>
    <xf numFmtId="169" fontId="102" fillId="0" borderId="8" xfId="0" applyNumberFormat="1" applyFont="1" applyFill="1" applyBorder="1" applyAlignment="1">
      <alignment horizontal="right" vertical="top" wrapText="1"/>
    </xf>
    <xf numFmtId="0" fontId="122" fillId="0" borderId="8" xfId="0" applyFont="1" applyFill="1" applyBorder="1"/>
    <xf numFmtId="169" fontId="101" fillId="0" borderId="8" xfId="0" applyNumberFormat="1" applyFont="1" applyFill="1" applyBorder="1" applyAlignment="1">
      <alignment horizontal="right" vertical="top" wrapText="1"/>
    </xf>
    <xf numFmtId="0" fontId="101" fillId="0" borderId="8" xfId="0" applyFont="1" applyFill="1" applyBorder="1" applyAlignment="1">
      <alignment horizontal="justify" vertical="top" wrapText="1"/>
    </xf>
    <xf numFmtId="176" fontId="79" fillId="0" borderId="8" xfId="0" applyNumberFormat="1" applyFont="1" applyFill="1" applyBorder="1" applyAlignment="1">
      <alignment horizontal="center" vertical="center" wrapText="1"/>
    </xf>
    <xf numFmtId="0" fontId="44" fillId="0" borderId="0" xfId="0" applyFont="1" applyFill="1" applyBorder="1" applyAlignment="1">
      <alignment horizontal="center"/>
    </xf>
    <xf numFmtId="2" fontId="102" fillId="0" borderId="8" xfId="0" applyNumberFormat="1" applyFont="1" applyFill="1" applyBorder="1" applyAlignment="1">
      <alignment horizontal="center" vertical="center" wrapText="1"/>
    </xf>
    <xf numFmtId="0" fontId="102" fillId="0" borderId="8" xfId="0" applyFont="1" applyFill="1" applyBorder="1" applyAlignment="1">
      <alignment horizontal="left" vertical="top" wrapText="1"/>
    </xf>
    <xf numFmtId="0" fontId="101" fillId="0" borderId="8" xfId="0" applyFont="1" applyFill="1" applyBorder="1" applyAlignment="1">
      <alignment horizontal="left" vertical="top" wrapText="1"/>
    </xf>
    <xf numFmtId="0" fontId="101" fillId="0" borderId="8" xfId="0" applyFont="1" applyFill="1" applyBorder="1" applyAlignment="1">
      <alignment horizontal="left" vertical="center" wrapText="1"/>
    </xf>
    <xf numFmtId="2" fontId="101" fillId="0" borderId="8" xfId="90" applyNumberFormat="1" applyFont="1" applyFill="1" applyBorder="1" applyAlignment="1">
      <alignment horizontal="center" vertical="top" wrapText="1"/>
    </xf>
    <xf numFmtId="2" fontId="101" fillId="0" borderId="8" xfId="0" applyNumberFormat="1" applyFont="1" applyFill="1" applyBorder="1" applyAlignment="1">
      <alignment horizontal="right" vertical="center" wrapText="1"/>
    </xf>
    <xf numFmtId="180" fontId="101" fillId="0" borderId="0" xfId="0" applyNumberFormat="1" applyFont="1" applyFill="1" applyBorder="1" applyAlignment="1">
      <alignment horizontal="center" vertical="center" wrapText="1"/>
    </xf>
    <xf numFmtId="0" fontId="101" fillId="0" borderId="8" xfId="0" applyFont="1" applyFill="1" applyBorder="1" applyAlignment="1">
      <alignment vertical="top"/>
    </xf>
    <xf numFmtId="2" fontId="128" fillId="0" borderId="8" xfId="0" applyNumberFormat="1" applyFont="1" applyBorder="1" applyAlignment="1">
      <alignment horizontal="right" vertical="center" wrapText="1"/>
    </xf>
    <xf numFmtId="171" fontId="79" fillId="0" borderId="8" xfId="0" applyNumberFormat="1" applyFont="1" applyFill="1" applyBorder="1" applyAlignment="1">
      <alignment horizontal="right" vertical="center" wrapText="1"/>
    </xf>
    <xf numFmtId="0" fontId="101" fillId="0" borderId="37" xfId="0" applyFont="1" applyFill="1" applyBorder="1" applyAlignment="1">
      <alignment horizontal="center" vertical="top" wrapText="1"/>
    </xf>
    <xf numFmtId="0" fontId="102" fillId="0" borderId="37" xfId="0" applyFont="1" applyFill="1" applyBorder="1" applyAlignment="1">
      <alignment horizontal="right" vertical="center" wrapText="1"/>
    </xf>
    <xf numFmtId="0" fontId="102" fillId="0" borderId="37" xfId="0" applyFont="1" applyFill="1" applyBorder="1" applyAlignment="1">
      <alignment horizontal="center" vertical="center" shrinkToFit="1"/>
    </xf>
    <xf numFmtId="2" fontId="102" fillId="0" borderId="37" xfId="106" applyNumberFormat="1" applyFont="1" applyFill="1" applyBorder="1" applyAlignment="1">
      <alignment horizontal="right" vertical="center" shrinkToFit="1"/>
    </xf>
    <xf numFmtId="0" fontId="102" fillId="0" borderId="0" xfId="0" applyFont="1" applyFill="1" applyBorder="1" applyAlignment="1">
      <alignment horizontal="right" vertical="center" wrapText="1"/>
    </xf>
    <xf numFmtId="0" fontId="102" fillId="0" borderId="0" xfId="0" applyFont="1" applyFill="1" applyBorder="1" applyAlignment="1">
      <alignment horizontal="center" vertical="center" shrinkToFit="1"/>
    </xf>
    <xf numFmtId="2" fontId="102" fillId="0" borderId="0" xfId="106" applyNumberFormat="1" applyFont="1" applyFill="1" applyBorder="1" applyAlignment="1">
      <alignment horizontal="right" vertical="center" shrinkToFit="1"/>
    </xf>
    <xf numFmtId="0" fontId="102" fillId="0" borderId="37" xfId="0" applyFont="1" applyFill="1" applyBorder="1" applyAlignment="1">
      <alignment vertical="center" wrapText="1"/>
    </xf>
    <xf numFmtId="0" fontId="97" fillId="0" borderId="4" xfId="0" applyFont="1" applyFill="1" applyBorder="1" applyAlignment="1">
      <alignment wrapText="1"/>
    </xf>
    <xf numFmtId="0" fontId="97" fillId="0" borderId="36" xfId="0" applyFont="1" applyFill="1" applyBorder="1" applyAlignment="1">
      <alignment wrapText="1"/>
    </xf>
    <xf numFmtId="0" fontId="97" fillId="0" borderId="36" xfId="0" applyFont="1" applyFill="1" applyBorder="1"/>
    <xf numFmtId="0" fontId="97" fillId="0" borderId="4" xfId="0" applyFont="1" applyFill="1" applyBorder="1" applyAlignment="1">
      <alignment vertical="top" wrapText="1"/>
    </xf>
    <xf numFmtId="0" fontId="97" fillId="0" borderId="36" xfId="0" applyFont="1" applyFill="1" applyBorder="1" applyAlignment="1">
      <alignment vertical="top" wrapText="1"/>
    </xf>
    <xf numFmtId="167" fontId="101" fillId="0" borderId="8" xfId="0" applyNumberFormat="1" applyFont="1" applyFill="1" applyBorder="1" applyAlignment="1">
      <alignment horizontal="center"/>
    </xf>
    <xf numFmtId="0" fontId="102" fillId="0" borderId="8" xfId="0" applyFont="1" applyFill="1" applyBorder="1" applyAlignment="1">
      <alignment horizontal="left" vertical="top" wrapText="1"/>
    </xf>
    <xf numFmtId="169" fontId="101" fillId="0" borderId="8" xfId="0" applyNumberFormat="1" applyFont="1" applyBorder="1" applyAlignment="1">
      <alignment horizontal="justify" vertical="top" wrapText="1"/>
    </xf>
    <xf numFmtId="0" fontId="102" fillId="0" borderId="8" xfId="0" applyFont="1" applyFill="1" applyBorder="1" applyAlignment="1">
      <alignment horizontal="left" vertical="top" wrapText="1"/>
    </xf>
    <xf numFmtId="2" fontId="122" fillId="0" borderId="8" xfId="0" applyNumberFormat="1" applyFont="1" applyBorder="1" applyAlignment="1">
      <alignment horizontal="center" vertical="center" wrapText="1"/>
    </xf>
    <xf numFmtId="0" fontId="102" fillId="0" borderId="8" xfId="0" applyFont="1" applyFill="1" applyBorder="1" applyAlignment="1">
      <alignment horizontal="center" vertical="center" wrapText="1"/>
    </xf>
    <xf numFmtId="170" fontId="30" fillId="0" borderId="8" xfId="0" applyNumberFormat="1" applyFont="1" applyFill="1" applyBorder="1" applyAlignment="1">
      <alignment horizontal="center" vertical="top" wrapText="1"/>
    </xf>
    <xf numFmtId="170" fontId="15" fillId="0" borderId="8" xfId="0" applyNumberFormat="1" applyFont="1" applyFill="1" applyBorder="1" applyAlignment="1">
      <alignment horizontal="center" vertical="center" wrapText="1"/>
    </xf>
    <xf numFmtId="0" fontId="30" fillId="0" borderId="8" xfId="0" applyFont="1" applyFill="1" applyBorder="1" applyAlignment="1">
      <alignment horizontal="center" vertical="top" wrapText="1"/>
    </xf>
    <xf numFmtId="2" fontId="15" fillId="0" borderId="8" xfId="0" applyNumberFormat="1" applyFont="1" applyFill="1" applyBorder="1" applyAlignment="1">
      <alignment horizontal="center" vertical="top" wrapText="1"/>
    </xf>
    <xf numFmtId="170" fontId="15" fillId="0" borderId="8" xfId="0" applyNumberFormat="1" applyFont="1" applyFill="1" applyBorder="1" applyAlignment="1">
      <alignment horizontal="center" vertical="top" wrapText="1"/>
    </xf>
    <xf numFmtId="2" fontId="30" fillId="0" borderId="8" xfId="0" applyNumberFormat="1" applyFont="1" applyFill="1" applyBorder="1" applyAlignment="1">
      <alignment horizontal="center" vertical="top" wrapText="1"/>
    </xf>
    <xf numFmtId="0" fontId="30" fillId="0" borderId="8" xfId="0" applyFont="1" applyFill="1" applyBorder="1" applyAlignment="1">
      <alignment horizontal="left" vertical="top" wrapText="1"/>
    </xf>
    <xf numFmtId="2" fontId="30" fillId="0" borderId="8" xfId="0" applyNumberFormat="1" applyFont="1" applyFill="1" applyBorder="1" applyAlignment="1">
      <alignment horizontal="center" vertical="top" shrinkToFit="1"/>
    </xf>
    <xf numFmtId="170" fontId="30" fillId="0" borderId="8" xfId="0" applyNumberFormat="1" applyFont="1" applyFill="1" applyBorder="1" applyAlignment="1">
      <alignment horizontal="center" vertical="center" wrapText="1"/>
    </xf>
    <xf numFmtId="0" fontId="15" fillId="0" borderId="8" xfId="0" applyFont="1" applyFill="1" applyBorder="1"/>
    <xf numFmtId="2" fontId="129" fillId="0" borderId="8" xfId="0" applyNumberFormat="1" applyFont="1" applyFill="1" applyBorder="1"/>
    <xf numFmtId="2" fontId="122" fillId="45" borderId="8" xfId="0" applyNumberFormat="1" applyFont="1" applyFill="1" applyBorder="1" applyAlignment="1">
      <alignment horizontal="center" vertical="center"/>
    </xf>
    <xf numFmtId="0" fontId="15" fillId="0" borderId="8" xfId="0" applyFont="1" applyFill="1" applyBorder="1" applyAlignment="1">
      <alignment horizontal="center" wrapText="1"/>
    </xf>
    <xf numFmtId="0" fontId="129" fillId="0" borderId="8" xfId="0" applyFont="1" applyFill="1" applyBorder="1" applyAlignment="1">
      <alignment horizontal="center" wrapText="1"/>
    </xf>
    <xf numFmtId="169" fontId="15" fillId="0" borderId="8" xfId="0" applyNumberFormat="1" applyFont="1" applyFill="1" applyBorder="1" applyAlignment="1">
      <alignment horizontal="right" vertical="center" wrapText="1"/>
    </xf>
    <xf numFmtId="167" fontId="15" fillId="0" borderId="8" xfId="0" applyNumberFormat="1" applyFont="1" applyFill="1" applyBorder="1"/>
    <xf numFmtId="167" fontId="129" fillId="0" borderId="8" xfId="0" applyNumberFormat="1" applyFont="1" applyFill="1" applyBorder="1"/>
    <xf numFmtId="0" fontId="129" fillId="0" borderId="8" xfId="0" applyFont="1" applyFill="1" applyBorder="1"/>
    <xf numFmtId="169" fontId="30" fillId="0" borderId="8" xfId="0" applyNumberFormat="1" applyFont="1" applyFill="1" applyBorder="1" applyAlignment="1">
      <alignment horizontal="right" vertical="center" wrapText="1"/>
    </xf>
    <xf numFmtId="2" fontId="15" fillId="0" borderId="8" xfId="0" applyNumberFormat="1" applyFont="1" applyFill="1" applyBorder="1" applyAlignment="1">
      <alignment horizontal="right" vertical="top" wrapText="1"/>
    </xf>
    <xf numFmtId="167" fontId="15" fillId="0" borderId="8" xfId="0" applyNumberFormat="1" applyFont="1" applyFill="1" applyBorder="1" applyAlignment="1">
      <alignment horizontal="center" vertical="top" wrapText="1"/>
    </xf>
    <xf numFmtId="2" fontId="134" fillId="0" borderId="8" xfId="0" applyNumberFormat="1" applyFont="1" applyFill="1" applyBorder="1" applyAlignment="1">
      <alignment horizontal="right" vertical="center" wrapText="1"/>
    </xf>
    <xf numFmtId="169" fontId="134" fillId="0" borderId="8" xfId="0" applyNumberFormat="1" applyFont="1" applyFill="1" applyBorder="1" applyAlignment="1">
      <alignment horizontal="justify" vertical="top" wrapText="1"/>
    </xf>
    <xf numFmtId="169" fontId="135" fillId="0" borderId="8" xfId="0" applyNumberFormat="1" applyFont="1" applyFill="1" applyBorder="1" applyAlignment="1">
      <alignment horizontal="right" vertical="center" wrapText="1"/>
    </xf>
    <xf numFmtId="169" fontId="132" fillId="0" borderId="8" xfId="0" applyNumberFormat="1" applyFont="1" applyFill="1" applyBorder="1" applyAlignment="1">
      <alignment horizontal="center" vertical="top" wrapText="1"/>
    </xf>
    <xf numFmtId="169" fontId="135" fillId="0" borderId="8" xfId="0" applyNumberFormat="1" applyFont="1" applyFill="1" applyBorder="1" applyAlignment="1">
      <alignment horizontal="justify" vertical="top" wrapText="1"/>
    </xf>
    <xf numFmtId="0" fontId="134" fillId="0" borderId="8" xfId="0" applyFont="1" applyFill="1" applyBorder="1"/>
    <xf numFmtId="2" fontId="134" fillId="0" borderId="8" xfId="0" applyNumberFormat="1" applyFont="1" applyFill="1" applyBorder="1"/>
    <xf numFmtId="2" fontId="135" fillId="0" borderId="8" xfId="0" applyNumberFormat="1" applyFont="1" applyFill="1" applyBorder="1" applyAlignment="1">
      <alignment horizontal="right" vertical="top" wrapText="1"/>
    </xf>
    <xf numFmtId="0" fontId="134" fillId="0" borderId="8" xfId="0" applyFont="1" applyFill="1" applyBorder="1" applyAlignment="1">
      <alignment horizontal="justify" vertical="top" wrapText="1"/>
    </xf>
    <xf numFmtId="0" fontId="102" fillId="0" borderId="8" xfId="0" applyFont="1" applyFill="1" applyBorder="1" applyAlignment="1">
      <alignment horizontal="left" vertical="top" wrapText="1"/>
    </xf>
    <xf numFmtId="0" fontId="101" fillId="0" borderId="8" xfId="0" applyFont="1" applyFill="1" applyBorder="1" applyAlignment="1">
      <alignment horizontal="left" vertical="top" wrapText="1"/>
    </xf>
    <xf numFmtId="0" fontId="97" fillId="0" borderId="8" xfId="0" applyFont="1" applyFill="1" applyBorder="1" applyAlignment="1">
      <alignment horizontal="center"/>
    </xf>
    <xf numFmtId="0" fontId="102" fillId="0" borderId="0" xfId="0" applyFont="1" applyFill="1" applyBorder="1" applyAlignment="1">
      <alignment horizontal="center" vertical="center" wrapText="1"/>
    </xf>
    <xf numFmtId="0" fontId="101" fillId="0" borderId="8" xfId="0" applyFont="1" applyFill="1" applyBorder="1" applyAlignment="1">
      <alignment horizontal="left" vertical="top" wrapText="1"/>
    </xf>
    <xf numFmtId="0" fontId="101" fillId="0" borderId="8" xfId="0" applyFont="1" applyFill="1" applyBorder="1" applyAlignment="1">
      <alignment horizontal="left" vertical="center" wrapText="1"/>
    </xf>
    <xf numFmtId="0" fontId="101" fillId="0" borderId="8" xfId="0" applyFont="1" applyBorder="1" applyAlignment="1">
      <alignment horizontal="center" wrapText="1"/>
    </xf>
    <xf numFmtId="2" fontId="128" fillId="0" borderId="8" xfId="0" applyNumberFormat="1" applyFont="1" applyFill="1" applyBorder="1" applyAlignment="1">
      <alignment horizontal="right" vertical="center" wrapText="1"/>
    </xf>
    <xf numFmtId="2" fontId="101" fillId="0" borderId="8" xfId="0" applyNumberFormat="1" applyFont="1" applyBorder="1" applyAlignment="1">
      <alignment horizontal="right" vertical="center" wrapText="1"/>
    </xf>
    <xf numFmtId="0" fontId="102" fillId="0" borderId="8" xfId="0" applyFont="1" applyFill="1" applyBorder="1" applyAlignment="1">
      <alignment horizontal="center" vertical="center" shrinkToFit="1"/>
    </xf>
    <xf numFmtId="0" fontId="15" fillId="0" borderId="0" xfId="0" applyFont="1" applyBorder="1"/>
    <xf numFmtId="0" fontId="101" fillId="0" borderId="8" xfId="0" applyFont="1" applyFill="1" applyBorder="1" applyAlignment="1">
      <alignment horizontal="left" vertical="top" wrapText="1"/>
    </xf>
    <xf numFmtId="0" fontId="101" fillId="0" borderId="8" xfId="0" applyFont="1" applyFill="1" applyBorder="1" applyAlignment="1">
      <alignment horizontal="left" vertical="center" wrapText="1"/>
    </xf>
    <xf numFmtId="0" fontId="44" fillId="0" borderId="0" xfId="0" applyFont="1" applyFill="1" applyBorder="1" applyAlignment="1">
      <alignment horizontal="center"/>
    </xf>
    <xf numFmtId="0" fontId="78" fillId="0" borderId="8" xfId="0" applyFont="1" applyFill="1" applyBorder="1" applyAlignment="1">
      <alignment horizontal="center" textRotation="90" wrapText="1"/>
    </xf>
    <xf numFmtId="0" fontId="10" fillId="0" borderId="8" xfId="0" applyFont="1" applyFill="1" applyBorder="1" applyAlignment="1">
      <alignment horizontal="center" wrapText="1"/>
    </xf>
    <xf numFmtId="0" fontId="78" fillId="0" borderId="8" xfId="0" applyFont="1" applyFill="1" applyBorder="1" applyAlignment="1">
      <alignment horizontal="center" vertical="center" wrapText="1"/>
    </xf>
    <xf numFmtId="2" fontId="15" fillId="43" borderId="8" xfId="105" applyNumberFormat="1" applyFont="1" applyFill="1" applyBorder="1" applyAlignment="1">
      <alignment horizontal="center" vertical="center"/>
    </xf>
    <xf numFmtId="0" fontId="15" fillId="0" borderId="8" xfId="105" applyFont="1" applyFill="1" applyBorder="1" applyAlignment="1">
      <alignment horizontal="left" vertical="center"/>
    </xf>
    <xf numFmtId="2" fontId="119" fillId="0" borderId="8" xfId="110" applyNumberFormat="1" applyFont="1" applyFill="1" applyBorder="1" applyAlignment="1">
      <alignment horizontal="center" vertical="center"/>
    </xf>
    <xf numFmtId="0" fontId="5" fillId="0" borderId="0" xfId="110" applyFill="1"/>
    <xf numFmtId="2" fontId="5" fillId="0" borderId="0" xfId="110" applyNumberFormat="1" applyFill="1"/>
    <xf numFmtId="2" fontId="122" fillId="43" borderId="8" xfId="0" applyNumberFormat="1" applyFont="1" applyFill="1" applyBorder="1" applyAlignment="1">
      <alignment horizontal="center" vertical="center"/>
    </xf>
    <xf numFmtId="0" fontId="78" fillId="0" borderId="8" xfId="0" applyFont="1" applyFill="1" applyBorder="1" applyAlignment="1">
      <alignment horizontal="center" textRotation="90" wrapText="1"/>
    </xf>
    <xf numFmtId="0" fontId="10" fillId="0" borderId="8" xfId="0" applyFont="1" applyFill="1" applyBorder="1" applyAlignment="1">
      <alignment horizontal="center" wrapText="1"/>
    </xf>
    <xf numFmtId="0" fontId="101" fillId="0" borderId="8" xfId="0" applyFont="1" applyFill="1" applyBorder="1" applyAlignment="1">
      <alignment horizontal="left" vertical="center" wrapText="1"/>
    </xf>
    <xf numFmtId="0" fontId="101" fillId="0" borderId="8" xfId="0" applyFont="1" applyBorder="1" applyAlignment="1">
      <alignment horizontal="center" vertical="center" wrapText="1"/>
    </xf>
    <xf numFmtId="0" fontId="101" fillId="0" borderId="8" xfId="0" applyFont="1" applyFill="1" applyBorder="1" applyAlignment="1">
      <alignment horizontal="left" vertical="top" wrapText="1"/>
    </xf>
    <xf numFmtId="2" fontId="102" fillId="46" borderId="8" xfId="0" applyNumberFormat="1" applyFont="1" applyFill="1" applyBorder="1" applyAlignment="1">
      <alignment horizontal="right" vertical="top" wrapText="1"/>
    </xf>
    <xf numFmtId="2" fontId="102" fillId="46" borderId="8" xfId="0" applyNumberFormat="1" applyFont="1" applyFill="1" applyBorder="1" applyAlignment="1">
      <alignment horizontal="center" vertical="center" shrinkToFit="1"/>
    </xf>
    <xf numFmtId="2" fontId="102" fillId="46" borderId="8" xfId="0" applyNumberFormat="1" applyFont="1" applyFill="1" applyBorder="1" applyAlignment="1">
      <alignment horizontal="right" vertical="center" wrapText="1"/>
    </xf>
    <xf numFmtId="2" fontId="102" fillId="46" borderId="8" xfId="0" applyNumberFormat="1" applyFont="1" applyFill="1" applyBorder="1" applyAlignment="1">
      <alignment horizontal="center" wrapText="1"/>
    </xf>
    <xf numFmtId="2" fontId="122" fillId="46" borderId="8" xfId="0" applyNumberFormat="1" applyFont="1" applyFill="1" applyBorder="1" applyAlignment="1">
      <alignment horizontal="right" vertical="top" wrapText="1"/>
    </xf>
    <xf numFmtId="2" fontId="101" fillId="46" borderId="8" xfId="0" applyNumberFormat="1" applyFont="1" applyFill="1" applyBorder="1" applyAlignment="1">
      <alignment horizontal="justify" vertical="top" wrapText="1"/>
    </xf>
    <xf numFmtId="0" fontId="0" fillId="0" borderId="0" xfId="0" applyAlignment="1">
      <alignment horizontal="center"/>
    </xf>
    <xf numFmtId="0" fontId="51" fillId="0" borderId="0" xfId="0" applyFont="1" applyFill="1" applyBorder="1"/>
    <xf numFmtId="169" fontId="79" fillId="0" borderId="8" xfId="0" applyNumberFormat="1" applyFont="1" applyBorder="1" applyAlignment="1">
      <alignment horizontal="center" vertical="top" wrapText="1"/>
    </xf>
    <xf numFmtId="170" fontId="93" fillId="0" borderId="22" xfId="0" applyNumberFormat="1" applyFont="1" applyBorder="1" applyAlignment="1">
      <alignment horizontal="center" vertical="top" wrapText="1"/>
    </xf>
    <xf numFmtId="2" fontId="79" fillId="43" borderId="22" xfId="0" applyNumberFormat="1" applyFont="1" applyFill="1" applyBorder="1" applyAlignment="1">
      <alignment horizontal="right" vertical="top" wrapText="1"/>
    </xf>
    <xf numFmtId="0" fontId="51" fillId="0" borderId="0" xfId="0" applyFont="1" applyFill="1" applyBorder="1" applyAlignment="1">
      <alignment horizontal="center" vertical="center" wrapText="1"/>
    </xf>
    <xf numFmtId="170" fontId="51" fillId="0" borderId="0" xfId="0" applyNumberFormat="1" applyFont="1" applyFill="1" applyBorder="1" applyAlignment="1">
      <alignment horizontal="center" vertical="center" wrapText="1"/>
    </xf>
    <xf numFmtId="170" fontId="52" fillId="0" borderId="0" xfId="0" applyNumberFormat="1" applyFont="1" applyFill="1" applyBorder="1" applyAlignment="1">
      <alignment horizontal="center" vertical="center" wrapText="1"/>
    </xf>
    <xf numFmtId="0" fontId="51" fillId="0" borderId="0" xfId="0" applyFont="1" applyFill="1" applyBorder="1" applyAlignment="1">
      <alignment horizontal="justify" vertical="top" wrapText="1"/>
    </xf>
    <xf numFmtId="0" fontId="51" fillId="0" borderId="0" xfId="0" applyFont="1" applyFill="1" applyBorder="1" applyAlignment="1">
      <alignment horizontal="center" vertical="center"/>
    </xf>
    <xf numFmtId="0" fontId="52" fillId="0" borderId="0" xfId="0" applyFont="1" applyFill="1" applyBorder="1" applyAlignment="1">
      <alignment horizontal="center" vertical="top" wrapText="1"/>
    </xf>
    <xf numFmtId="0" fontId="51" fillId="0" borderId="0" xfId="0" applyFont="1" applyFill="1" applyBorder="1" applyAlignment="1">
      <alignment horizontal="center" vertical="top" wrapText="1"/>
    </xf>
    <xf numFmtId="169" fontId="51" fillId="0" borderId="0" xfId="0" applyNumberFormat="1" applyFont="1" applyFill="1" applyBorder="1" applyAlignment="1">
      <alignment horizontal="center" vertical="top" wrapText="1"/>
    </xf>
    <xf numFmtId="169" fontId="51" fillId="0" borderId="0" xfId="0" applyNumberFormat="1" applyFont="1" applyFill="1" applyBorder="1" applyAlignment="1">
      <alignment horizontal="right" vertical="top" wrapText="1"/>
    </xf>
    <xf numFmtId="0" fontId="51" fillId="43" borderId="0" xfId="0" applyFont="1" applyFill="1" applyBorder="1"/>
    <xf numFmtId="0" fontId="7" fillId="41" borderId="8" xfId="0" applyFont="1" applyFill="1" applyBorder="1" applyAlignment="1">
      <alignment horizontal="center" vertical="top"/>
    </xf>
    <xf numFmtId="0" fontId="51" fillId="41" borderId="8" xfId="0" applyFont="1" applyFill="1" applyBorder="1" applyAlignment="1">
      <alignment horizontal="center" vertical="top" wrapText="1"/>
    </xf>
    <xf numFmtId="0" fontId="51" fillId="41" borderId="8" xfId="0" applyFont="1" applyFill="1" applyBorder="1" applyAlignment="1">
      <alignment vertical="top" wrapText="1"/>
    </xf>
    <xf numFmtId="2" fontId="51" fillId="41" borderId="8" xfId="0" applyNumberFormat="1" applyFont="1" applyFill="1" applyBorder="1" applyAlignment="1">
      <alignment horizontal="right" vertical="top"/>
    </xf>
    <xf numFmtId="0" fontId="51" fillId="41" borderId="8" xfId="0" applyFont="1" applyFill="1" applyBorder="1" applyAlignment="1">
      <alignment vertical="top"/>
    </xf>
    <xf numFmtId="0" fontId="51" fillId="41" borderId="8" xfId="0" applyFont="1" applyFill="1" applyBorder="1" applyAlignment="1">
      <alignment horizontal="center" vertical="top"/>
    </xf>
    <xf numFmtId="0" fontId="62" fillId="41" borderId="8" xfId="0" applyFont="1" applyFill="1" applyBorder="1" applyAlignment="1">
      <alignment vertical="top"/>
    </xf>
    <xf numFmtId="0" fontId="51" fillId="41" borderId="8" xfId="112" applyFont="1" applyFill="1" applyBorder="1" applyAlignment="1">
      <alignment horizontal="center" vertical="top"/>
    </xf>
    <xf numFmtId="2" fontId="51" fillId="41" borderId="8" xfId="112" applyNumberFormat="1" applyFont="1" applyFill="1" applyBorder="1" applyAlignment="1">
      <alignment horizontal="right" vertical="top"/>
    </xf>
    <xf numFmtId="0" fontId="51" fillId="41" borderId="8" xfId="112" applyFont="1" applyFill="1" applyBorder="1"/>
    <xf numFmtId="0" fontId="51" fillId="41" borderId="8" xfId="112" applyFont="1" applyFill="1" applyBorder="1" applyAlignment="1">
      <alignment horizontal="center"/>
    </xf>
    <xf numFmtId="2" fontId="51" fillId="41" borderId="8" xfId="112" applyNumberFormat="1" applyFont="1" applyFill="1" applyBorder="1" applyAlignment="1">
      <alignment horizontal="right"/>
    </xf>
    <xf numFmtId="0" fontId="51" fillId="41" borderId="8" xfId="0" applyFont="1" applyFill="1" applyBorder="1" applyAlignment="1">
      <alignment horizontal="justify" vertical="top" wrapText="1"/>
    </xf>
    <xf numFmtId="0" fontId="51" fillId="41" borderId="8" xfId="0" applyFont="1" applyFill="1" applyBorder="1" applyAlignment="1">
      <alignment horizontal="right" vertical="top" wrapText="1"/>
    </xf>
    <xf numFmtId="2" fontId="51" fillId="41" borderId="8" xfId="0" applyNumberFormat="1" applyFont="1" applyFill="1" applyBorder="1" applyAlignment="1">
      <alignment horizontal="right" vertical="top" wrapText="1"/>
    </xf>
    <xf numFmtId="2" fontId="52" fillId="41" borderId="8" xfId="0" applyNumberFormat="1" applyFont="1" applyFill="1" applyBorder="1" applyAlignment="1">
      <alignment horizontal="right" vertical="top" wrapText="1"/>
    </xf>
    <xf numFmtId="0" fontId="62" fillId="41" borderId="8" xfId="112" applyFont="1" applyFill="1" applyBorder="1"/>
    <xf numFmtId="1" fontId="0" fillId="0" borderId="0" xfId="0" applyNumberFormat="1"/>
    <xf numFmtId="2" fontId="52" fillId="41" borderId="8" xfId="112" applyNumberFormat="1" applyFont="1" applyFill="1" applyBorder="1" applyAlignment="1">
      <alignment horizontal="right" vertical="top"/>
    </xf>
    <xf numFmtId="0" fontId="9" fillId="41" borderId="8" xfId="0" applyFont="1" applyFill="1" applyBorder="1" applyAlignment="1">
      <alignment horizontal="center" vertical="top"/>
    </xf>
    <xf numFmtId="0" fontId="103" fillId="41" borderId="8" xfId="0" applyFont="1" applyFill="1" applyBorder="1" applyAlignment="1">
      <alignment horizontal="center" vertical="top" wrapText="1"/>
    </xf>
    <xf numFmtId="0" fontId="68" fillId="41" borderId="8" xfId="0" applyFont="1" applyFill="1" applyBorder="1" applyAlignment="1">
      <alignment horizontal="justify" vertical="top" wrapText="1"/>
    </xf>
    <xf numFmtId="2" fontId="9" fillId="41" borderId="8" xfId="0" applyNumberFormat="1" applyFont="1" applyFill="1" applyBorder="1" applyAlignment="1">
      <alignment horizontal="right" vertical="top" wrapText="1"/>
    </xf>
    <xf numFmtId="0" fontId="51" fillId="41" borderId="8" xfId="0" applyFont="1" applyFill="1" applyBorder="1" applyAlignment="1">
      <alignment vertical="center" wrapText="1"/>
    </xf>
    <xf numFmtId="2" fontId="52" fillId="41" borderId="8" xfId="112" applyNumberFormat="1" applyFont="1" applyFill="1" applyBorder="1" applyAlignment="1">
      <alignment horizontal="right"/>
    </xf>
    <xf numFmtId="0" fontId="52" fillId="41" borderId="8" xfId="0" applyFont="1" applyFill="1" applyBorder="1" applyAlignment="1">
      <alignment vertical="top"/>
    </xf>
    <xf numFmtId="169" fontId="52" fillId="41" borderId="8" xfId="0" applyNumberFormat="1" applyFont="1" applyFill="1" applyBorder="1" applyAlignment="1">
      <alignment horizontal="center" vertical="top" wrapText="1"/>
    </xf>
    <xf numFmtId="175" fontId="52" fillId="41" borderId="8" xfId="0" applyNumberFormat="1" applyFont="1" applyFill="1" applyBorder="1" applyAlignment="1">
      <alignment horizontal="right" vertical="top" wrapText="1"/>
    </xf>
    <xf numFmtId="2" fontId="52" fillId="41" borderId="8" xfId="0" applyNumberFormat="1" applyFont="1" applyFill="1" applyBorder="1" applyAlignment="1">
      <alignment horizontal="right" vertical="center" wrapText="1"/>
    </xf>
    <xf numFmtId="169" fontId="51" fillId="41" borderId="8" xfId="0" applyNumberFormat="1" applyFont="1" applyFill="1" applyBorder="1" applyAlignment="1">
      <alignment horizontal="center" vertical="top" wrapText="1"/>
    </xf>
    <xf numFmtId="2" fontId="51" fillId="41" borderId="8" xfId="0" applyNumberFormat="1" applyFont="1" applyFill="1" applyBorder="1" applyAlignment="1">
      <alignment horizontal="right" vertical="center" wrapText="1"/>
    </xf>
    <xf numFmtId="0" fontId="52" fillId="41" borderId="8" xfId="0" applyFont="1" applyFill="1" applyBorder="1" applyAlignment="1">
      <alignment vertical="top" wrapText="1"/>
    </xf>
    <xf numFmtId="0" fontId="51" fillId="41" borderId="8" xfId="113" applyFont="1" applyFill="1" applyBorder="1" applyAlignment="1">
      <alignment horizontal="right" vertical="center" wrapText="1"/>
    </xf>
    <xf numFmtId="2" fontId="51" fillId="41" borderId="8" xfId="113" applyNumberFormat="1" applyFont="1" applyFill="1" applyBorder="1" applyAlignment="1">
      <alignment horizontal="right" vertical="center" wrapText="1"/>
    </xf>
    <xf numFmtId="2" fontId="52" fillId="41" borderId="8" xfId="113" applyNumberFormat="1" applyFont="1" applyFill="1" applyBorder="1" applyAlignment="1">
      <alignment horizontal="right" vertical="center" wrapText="1"/>
    </xf>
    <xf numFmtId="0" fontId="10" fillId="0" borderId="8" xfId="0" applyFont="1" applyBorder="1" applyAlignment="1">
      <alignment horizontal="center" vertical="center" wrapText="1"/>
    </xf>
    <xf numFmtId="0" fontId="0" fillId="0" borderId="8" xfId="0" applyBorder="1" applyAlignment="1">
      <alignment horizontal="center"/>
    </xf>
    <xf numFmtId="0" fontId="0" fillId="0" borderId="8" xfId="0" applyBorder="1" applyAlignment="1">
      <alignment horizontal="justify" vertical="top" wrapText="1"/>
    </xf>
    <xf numFmtId="169" fontId="79" fillId="0" borderId="8" xfId="0" applyNumberFormat="1" applyFont="1" applyBorder="1" applyAlignment="1">
      <alignment horizontal="justify" vertical="top" wrapText="1"/>
    </xf>
    <xf numFmtId="167" fontId="79" fillId="0" borderId="8" xfId="0" applyNumberFormat="1" applyFont="1" applyBorder="1" applyAlignment="1">
      <alignment horizontal="center" vertical="center" wrapText="1"/>
    </xf>
    <xf numFmtId="2" fontId="79" fillId="0" borderId="8" xfId="0" applyNumberFormat="1" applyFont="1" applyBorder="1" applyAlignment="1">
      <alignment horizontal="right" vertical="center" wrapText="1"/>
    </xf>
    <xf numFmtId="2" fontId="79" fillId="0" borderId="8" xfId="0" applyNumberFormat="1" applyFont="1" applyBorder="1" applyAlignment="1">
      <alignment horizontal="center" vertical="center" wrapText="1"/>
    </xf>
    <xf numFmtId="2" fontId="10" fillId="0" borderId="8" xfId="0" applyNumberFormat="1" applyFont="1" applyBorder="1"/>
    <xf numFmtId="0" fontId="0" fillId="43" borderId="8" xfId="0" applyFill="1" applyBorder="1" applyAlignment="1">
      <alignment horizontal="justify" vertical="top" wrapText="1"/>
    </xf>
    <xf numFmtId="0" fontId="89" fillId="0" borderId="0" xfId="0" applyFont="1" applyFill="1" applyBorder="1" applyAlignment="1">
      <alignment horizontal="center" vertical="top" wrapText="1"/>
    </xf>
    <xf numFmtId="0" fontId="10" fillId="0" borderId="0" xfId="0" applyFont="1" applyFill="1" applyBorder="1" applyAlignment="1">
      <alignment horizontal="center" wrapText="1"/>
    </xf>
    <xf numFmtId="0" fontId="7" fillId="0" borderId="0" xfId="0" applyFont="1" applyFill="1" applyBorder="1" applyAlignment="1">
      <alignment horizontal="center" wrapText="1"/>
    </xf>
    <xf numFmtId="0" fontId="78" fillId="0" borderId="0" xfId="0" applyFont="1" applyFill="1" applyBorder="1" applyAlignment="1">
      <alignment horizontal="center" textRotation="90" wrapText="1"/>
    </xf>
    <xf numFmtId="0" fontId="10" fillId="43" borderId="0" xfId="0" applyFont="1" applyFill="1" applyBorder="1" applyAlignment="1">
      <alignment horizontal="center" wrapText="1"/>
    </xf>
    <xf numFmtId="169" fontId="79" fillId="43" borderId="8" xfId="0" applyNumberFormat="1" applyFont="1" applyFill="1" applyBorder="1" applyAlignment="1">
      <alignment horizontal="justify" vertical="top" wrapText="1"/>
    </xf>
    <xf numFmtId="0" fontId="0" fillId="0" borderId="8" xfId="0" applyBorder="1" applyAlignment="1">
      <alignment horizontal="center" vertical="center"/>
    </xf>
    <xf numFmtId="0" fontId="0" fillId="43" borderId="8" xfId="0" applyFill="1" applyBorder="1" applyAlignment="1">
      <alignment horizontal="justify" vertical="center" wrapText="1"/>
    </xf>
    <xf numFmtId="0" fontId="0" fillId="0" borderId="8" xfId="0" applyBorder="1" applyAlignment="1">
      <alignment vertical="center"/>
    </xf>
    <xf numFmtId="0" fontId="0" fillId="0" borderId="0" xfId="0" applyAlignment="1">
      <alignment vertical="center"/>
    </xf>
    <xf numFmtId="0" fontId="56" fillId="0" borderId="8" xfId="83" applyFont="1" applyBorder="1" applyAlignment="1">
      <alignment horizontal="centerContinuous" vertical="top" wrapText="1"/>
    </xf>
    <xf numFmtId="0" fontId="61" fillId="0" borderId="8" xfId="78" applyFont="1" applyBorder="1" applyAlignment="1">
      <alignment vertical="top"/>
    </xf>
    <xf numFmtId="0" fontId="55" fillId="0" borderId="8" xfId="78" applyFont="1" applyBorder="1" applyAlignment="1">
      <alignment vertical="top"/>
    </xf>
    <xf numFmtId="0" fontId="64" fillId="0" borderId="8" xfId="78" applyFont="1" applyBorder="1" applyAlignment="1">
      <alignment vertical="top"/>
    </xf>
    <xf numFmtId="0" fontId="55" fillId="0" borderId="8" xfId="83" applyFont="1" applyBorder="1" applyAlignment="1">
      <alignment horizontal="right" vertical="top"/>
    </xf>
    <xf numFmtId="2" fontId="55" fillId="0" borderId="8" xfId="83" applyNumberFormat="1" applyFont="1" applyBorder="1" applyAlignment="1">
      <alignment horizontal="left" vertical="top"/>
    </xf>
    <xf numFmtId="0" fontId="57" fillId="0" borderId="8" xfId="78" applyFont="1" applyBorder="1" applyAlignment="1">
      <alignment vertical="top"/>
    </xf>
    <xf numFmtId="0" fontId="30" fillId="0" borderId="8" xfId="0" applyFont="1" applyFill="1" applyBorder="1" applyAlignment="1">
      <alignment horizontal="center" vertical="center" wrapText="1"/>
    </xf>
    <xf numFmtId="0" fontId="30" fillId="0" borderId="8" xfId="0" applyFont="1" applyFill="1" applyBorder="1" applyAlignment="1">
      <alignment vertical="center" wrapText="1"/>
    </xf>
    <xf numFmtId="169" fontId="30" fillId="0" borderId="8" xfId="0" applyNumberFormat="1" applyFont="1" applyFill="1" applyBorder="1" applyAlignment="1">
      <alignment horizontal="center" vertical="center" wrapText="1"/>
    </xf>
    <xf numFmtId="169" fontId="30" fillId="43" borderId="8" xfId="0" applyNumberFormat="1" applyFont="1" applyFill="1" applyBorder="1" applyAlignment="1">
      <alignment horizontal="right" vertical="center" wrapText="1"/>
    </xf>
    <xf numFmtId="170" fontId="15" fillId="0" borderId="0" xfId="0" applyNumberFormat="1" applyFont="1" applyFill="1" applyBorder="1" applyAlignment="1">
      <alignment horizontal="center" vertical="center" wrapText="1"/>
    </xf>
    <xf numFmtId="170" fontId="15" fillId="43" borderId="0" xfId="0" applyNumberFormat="1" applyFont="1" applyFill="1" applyBorder="1" applyAlignment="1">
      <alignment horizontal="center" vertical="center" wrapText="1"/>
    </xf>
    <xf numFmtId="0" fontId="30" fillId="0" borderId="24" xfId="0" applyFont="1" applyFill="1" applyBorder="1" applyAlignment="1">
      <alignment horizontal="center" vertical="top" wrapText="1"/>
    </xf>
    <xf numFmtId="170" fontId="30" fillId="0" borderId="22" xfId="0" applyNumberFormat="1" applyFont="1" applyFill="1" applyBorder="1" applyAlignment="1">
      <alignment horizontal="center" vertical="top" wrapText="1"/>
    </xf>
    <xf numFmtId="0" fontId="15" fillId="0" borderId="22" xfId="0" applyFont="1" applyFill="1" applyBorder="1" applyAlignment="1">
      <alignment horizontal="justify" vertical="top" wrapText="1"/>
    </xf>
    <xf numFmtId="0" fontId="15" fillId="0" borderId="22" xfId="0" applyFont="1" applyFill="1" applyBorder="1" applyAlignment="1">
      <alignment horizontal="justify" vertical="top" shrinkToFit="1"/>
    </xf>
    <xf numFmtId="2" fontId="15" fillId="0" borderId="22" xfId="0" applyNumberFormat="1" applyFont="1" applyFill="1" applyBorder="1" applyAlignment="1">
      <alignment horizontal="center" vertical="top" wrapText="1"/>
    </xf>
    <xf numFmtId="2" fontId="15" fillId="0" borderId="22" xfId="0" applyNumberFormat="1" applyFont="1" applyFill="1" applyBorder="1" applyAlignment="1">
      <alignment horizontal="right" vertical="top" wrapText="1"/>
    </xf>
    <xf numFmtId="2" fontId="15" fillId="43" borderId="22" xfId="0" applyNumberFormat="1" applyFont="1" applyFill="1" applyBorder="1" applyAlignment="1">
      <alignment horizontal="right" vertical="top" wrapText="1"/>
    </xf>
    <xf numFmtId="0" fontId="30" fillId="0" borderId="22" xfId="0" applyFont="1" applyFill="1" applyBorder="1" applyAlignment="1">
      <alignment horizontal="justify" vertical="top" wrapText="1"/>
    </xf>
    <xf numFmtId="2" fontId="15" fillId="0" borderId="23" xfId="0" applyNumberFormat="1" applyFont="1" applyFill="1" applyBorder="1" applyAlignment="1">
      <alignment horizontal="right" vertical="top" wrapText="1"/>
    </xf>
    <xf numFmtId="2" fontId="15" fillId="43" borderId="23" xfId="0" applyNumberFormat="1" applyFont="1" applyFill="1" applyBorder="1" applyAlignment="1">
      <alignment horizontal="right" vertical="top" wrapText="1"/>
    </xf>
    <xf numFmtId="170" fontId="30" fillId="0" borderId="24" xfId="0" applyNumberFormat="1" applyFont="1" applyFill="1" applyBorder="1" applyAlignment="1">
      <alignment horizontal="center" vertical="top" wrapText="1"/>
    </xf>
    <xf numFmtId="170" fontId="15" fillId="0" borderId="22" xfId="0" applyNumberFormat="1" applyFont="1" applyFill="1" applyBorder="1" applyAlignment="1">
      <alignment horizontal="center" vertical="top" wrapText="1"/>
    </xf>
    <xf numFmtId="2" fontId="30" fillId="0" borderId="22" xfId="0" applyNumberFormat="1" applyFont="1" applyFill="1" applyBorder="1" applyAlignment="1">
      <alignment horizontal="center" vertical="top" shrinkToFit="1"/>
    </xf>
    <xf numFmtId="2" fontId="30" fillId="0" borderId="23" xfId="0" applyNumberFormat="1" applyFont="1" applyFill="1" applyBorder="1" applyAlignment="1">
      <alignment horizontal="right" vertical="top" wrapText="1"/>
    </xf>
    <xf numFmtId="2" fontId="30" fillId="43" borderId="23" xfId="0" applyNumberFormat="1" applyFont="1" applyFill="1" applyBorder="1" applyAlignment="1">
      <alignment horizontal="right" vertical="top" wrapText="1"/>
    </xf>
    <xf numFmtId="1" fontId="15" fillId="0" borderId="22" xfId="0" applyNumberFormat="1" applyFont="1" applyFill="1" applyBorder="1" applyAlignment="1">
      <alignment horizontal="center" vertical="top" wrapText="1"/>
    </xf>
    <xf numFmtId="175" fontId="15" fillId="0" borderId="22" xfId="0" applyNumberFormat="1" applyFont="1" applyFill="1" applyBorder="1" applyAlignment="1">
      <alignment horizontal="right" vertical="top" wrapText="1"/>
    </xf>
    <xf numFmtId="2" fontId="30" fillId="0" borderId="22" xfId="0" applyNumberFormat="1" applyFont="1" applyFill="1" applyBorder="1" applyAlignment="1">
      <alignment horizontal="center" vertical="top" wrapText="1"/>
    </xf>
    <xf numFmtId="2" fontId="30" fillId="0" borderId="22" xfId="0" applyNumberFormat="1" applyFont="1" applyFill="1" applyBorder="1" applyAlignment="1">
      <alignment horizontal="right" vertical="top" wrapText="1"/>
    </xf>
    <xf numFmtId="170" fontId="30" fillId="0" borderId="0" xfId="0" applyNumberFormat="1" applyFont="1" applyFill="1" applyBorder="1" applyAlignment="1">
      <alignment horizontal="center" vertical="center" wrapText="1"/>
    </xf>
    <xf numFmtId="170" fontId="30" fillId="43" borderId="0" xfId="0" applyNumberFormat="1" applyFont="1" applyFill="1" applyBorder="1" applyAlignment="1">
      <alignment horizontal="center" vertical="center" wrapText="1"/>
    </xf>
    <xf numFmtId="170" fontId="30" fillId="0" borderId="0" xfId="0" applyNumberFormat="1" applyFont="1" applyFill="1" applyBorder="1" applyAlignment="1">
      <alignment horizontal="center" vertical="top" wrapText="1"/>
    </xf>
    <xf numFmtId="170" fontId="15" fillId="0" borderId="0" xfId="0" applyNumberFormat="1" applyFont="1" applyFill="1" applyBorder="1" applyAlignment="1">
      <alignment horizontal="center" vertical="top" wrapText="1"/>
    </xf>
    <xf numFmtId="0" fontId="15" fillId="0" borderId="0" xfId="0" applyFont="1" applyFill="1" applyBorder="1" applyAlignment="1">
      <alignment horizontal="justify" vertical="top" wrapText="1"/>
    </xf>
    <xf numFmtId="2" fontId="30" fillId="0" borderId="0" xfId="0" applyNumberFormat="1" applyFont="1" applyFill="1" applyBorder="1" applyAlignment="1">
      <alignment horizontal="center" vertical="top" shrinkToFit="1"/>
    </xf>
    <xf numFmtId="2" fontId="15" fillId="0" borderId="0" xfId="0" applyNumberFormat="1" applyFont="1" applyFill="1" applyBorder="1" applyAlignment="1">
      <alignment horizontal="center" vertical="top" wrapText="1"/>
    </xf>
    <xf numFmtId="2" fontId="15" fillId="0" borderId="0" xfId="0" applyNumberFormat="1" applyFont="1" applyFill="1" applyBorder="1" applyAlignment="1">
      <alignment horizontal="right" vertical="top" wrapText="1"/>
    </xf>
    <xf numFmtId="2" fontId="30" fillId="0" borderId="0" xfId="0" applyNumberFormat="1" applyFont="1" applyFill="1" applyBorder="1" applyAlignment="1">
      <alignment horizontal="right" vertical="top" wrapText="1"/>
    </xf>
    <xf numFmtId="2" fontId="30" fillId="43" borderId="0" xfId="0" applyNumberFormat="1" applyFont="1" applyFill="1" applyBorder="1" applyAlignment="1">
      <alignment horizontal="right" vertical="top" wrapText="1"/>
    </xf>
    <xf numFmtId="0" fontId="15" fillId="0" borderId="0" xfId="0" applyFont="1" applyFill="1" applyBorder="1" applyAlignment="1">
      <alignment horizontal="center" vertical="center"/>
    </xf>
    <xf numFmtId="0" fontId="30" fillId="0" borderId="0" xfId="0" applyFont="1" applyFill="1" applyBorder="1" applyAlignment="1">
      <alignment horizontal="center" vertical="top" wrapText="1"/>
    </xf>
    <xf numFmtId="0" fontId="15" fillId="0" borderId="0" xfId="0" applyFont="1" applyFill="1" applyBorder="1" applyAlignment="1">
      <alignment horizontal="center" vertical="top" wrapText="1"/>
    </xf>
    <xf numFmtId="169" fontId="15" fillId="0" borderId="0" xfId="0" applyNumberFormat="1" applyFont="1" applyFill="1" applyBorder="1" applyAlignment="1">
      <alignment horizontal="center" vertical="top" wrapText="1"/>
    </xf>
    <xf numFmtId="169" fontId="15" fillId="0" borderId="0" xfId="0" applyNumberFormat="1" applyFont="1" applyFill="1" applyBorder="1" applyAlignment="1">
      <alignment horizontal="right" vertical="top"/>
    </xf>
    <xf numFmtId="169" fontId="15" fillId="0" borderId="0" xfId="0" applyNumberFormat="1" applyFont="1" applyFill="1" applyBorder="1" applyAlignment="1">
      <alignment horizontal="right" vertical="top" wrapText="1"/>
    </xf>
    <xf numFmtId="0" fontId="15" fillId="0" borderId="0" xfId="0" applyFont="1" applyFill="1" applyBorder="1" applyAlignment="1">
      <alignment horizontal="left" vertical="center"/>
    </xf>
    <xf numFmtId="0" fontId="15" fillId="43" borderId="0" xfId="0" applyFont="1" applyFill="1" applyBorder="1"/>
    <xf numFmtId="0" fontId="15" fillId="0" borderId="8" xfId="0" applyFont="1" applyFill="1" applyBorder="1" applyAlignment="1">
      <alignment horizontal="center" vertical="top" wrapText="1"/>
    </xf>
    <xf numFmtId="0" fontId="30" fillId="0" borderId="8" xfId="0" applyFont="1" applyFill="1" applyBorder="1" applyAlignment="1">
      <alignment vertical="center"/>
    </xf>
    <xf numFmtId="1" fontId="15" fillId="0" borderId="8" xfId="0" applyNumberFormat="1" applyFont="1" applyFill="1" applyBorder="1" applyAlignment="1">
      <alignment horizontal="center" vertical="center"/>
    </xf>
    <xf numFmtId="2" fontId="15" fillId="0" borderId="8" xfId="0" applyNumberFormat="1" applyFont="1" applyFill="1" applyBorder="1" applyAlignment="1">
      <alignment horizontal="center" vertical="center"/>
    </xf>
    <xf numFmtId="0" fontId="15" fillId="0" borderId="8" xfId="0" applyFont="1" applyFill="1" applyBorder="1" applyAlignment="1"/>
    <xf numFmtId="2" fontId="15" fillId="0" borderId="8" xfId="0" applyNumberFormat="1" applyFont="1" applyFill="1" applyBorder="1" applyAlignment="1">
      <alignment horizontal="center" vertical="center" shrinkToFit="1"/>
    </xf>
    <xf numFmtId="2" fontId="15" fillId="0" borderId="41" xfId="0" applyNumberFormat="1" applyFont="1" applyFill="1" applyBorder="1" applyAlignment="1">
      <alignment horizontal="center" vertical="center"/>
    </xf>
    <xf numFmtId="2" fontId="15" fillId="0" borderId="28" xfId="0" applyNumberFormat="1" applyFont="1" applyFill="1" applyBorder="1" applyAlignment="1">
      <alignment horizontal="center" vertical="center"/>
    </xf>
    <xf numFmtId="0" fontId="15" fillId="0" borderId="0" xfId="0" applyFont="1" applyFill="1" applyBorder="1"/>
    <xf numFmtId="0" fontId="15" fillId="0" borderId="8" xfId="0" applyFont="1" applyFill="1" applyBorder="1" applyAlignment="1">
      <alignment vertical="center"/>
    </xf>
    <xf numFmtId="2" fontId="30" fillId="0" borderId="8" xfId="0" applyNumberFormat="1" applyFont="1" applyFill="1" applyBorder="1" applyAlignment="1">
      <alignment horizontal="center" vertical="center"/>
    </xf>
    <xf numFmtId="2" fontId="30" fillId="0" borderId="8" xfId="0" applyNumberFormat="1" applyFont="1" applyFill="1" applyBorder="1" applyAlignment="1">
      <alignment horizontal="center" vertical="center" shrinkToFit="1"/>
    </xf>
    <xf numFmtId="2" fontId="137" fillId="0" borderId="31" xfId="0" applyNumberFormat="1" applyFont="1" applyFill="1" applyBorder="1" applyAlignment="1">
      <alignment horizontal="right" vertical="top"/>
    </xf>
    <xf numFmtId="0" fontId="15" fillId="0" borderId="0" xfId="0" applyFont="1" applyFill="1" applyAlignment="1">
      <alignment vertical="top"/>
    </xf>
    <xf numFmtId="2" fontId="30" fillId="0" borderId="22" xfId="0" applyNumberFormat="1" applyFont="1" applyFill="1" applyBorder="1" applyAlignment="1">
      <alignment horizontal="center" vertical="center"/>
    </xf>
    <xf numFmtId="2" fontId="15" fillId="0" borderId="8" xfId="0" applyNumberFormat="1" applyFont="1" applyFill="1" applyBorder="1" applyAlignment="1"/>
    <xf numFmtId="2" fontId="15" fillId="0" borderId="0" xfId="0" applyNumberFormat="1" applyFont="1" applyFill="1" applyBorder="1" applyAlignment="1">
      <alignment horizontal="center" vertical="center"/>
    </xf>
    <xf numFmtId="9" fontId="15" fillId="0" borderId="8" xfId="0" applyNumberFormat="1" applyFont="1" applyFill="1" applyBorder="1" applyAlignment="1">
      <alignment vertical="center"/>
    </xf>
    <xf numFmtId="0" fontId="30" fillId="0" borderId="8" xfId="0" applyFont="1" applyFill="1" applyBorder="1" applyAlignment="1">
      <alignment horizontal="justify" vertical="justify" shrinkToFit="1"/>
    </xf>
    <xf numFmtId="2" fontId="15" fillId="0" borderId="31" xfId="0" applyNumberFormat="1" applyFont="1" applyFill="1" applyBorder="1" applyAlignment="1">
      <alignment horizontal="center" vertical="center"/>
    </xf>
    <xf numFmtId="2" fontId="15" fillId="0" borderId="22" xfId="0" applyNumberFormat="1" applyFont="1" applyFill="1" applyBorder="1" applyAlignment="1">
      <alignment horizontal="center" vertical="center"/>
    </xf>
    <xf numFmtId="2" fontId="15" fillId="0" borderId="0" xfId="0" applyNumberFormat="1" applyFont="1" applyFill="1" applyBorder="1"/>
    <xf numFmtId="169" fontId="15" fillId="0" borderId="8" xfId="0" applyNumberFormat="1" applyFont="1" applyFill="1" applyBorder="1" applyAlignment="1">
      <alignment horizontal="justify" vertical="top" wrapText="1"/>
    </xf>
    <xf numFmtId="2" fontId="15" fillId="0" borderId="8" xfId="0" applyNumberFormat="1" applyFont="1" applyFill="1" applyBorder="1"/>
    <xf numFmtId="2" fontId="15" fillId="0" borderId="36" xfId="0" applyNumberFormat="1" applyFont="1" applyFill="1" applyBorder="1" applyAlignment="1">
      <alignment horizontal="center" vertical="center" shrinkToFit="1"/>
    </xf>
    <xf numFmtId="2" fontId="30" fillId="0" borderId="0" xfId="0" applyNumberFormat="1" applyFont="1" applyFill="1" applyBorder="1" applyAlignment="1">
      <alignment horizontal="center" vertical="center"/>
    </xf>
    <xf numFmtId="0" fontId="15" fillId="0" borderId="8" xfId="0" applyFont="1" applyFill="1" applyBorder="1" applyAlignment="1">
      <alignment horizontal="justify" vertical="justify" wrapText="1"/>
    </xf>
    <xf numFmtId="0" fontId="15" fillId="0" borderId="8" xfId="0" applyFont="1" applyFill="1" applyBorder="1" applyAlignment="1">
      <alignment vertical="top"/>
    </xf>
    <xf numFmtId="0" fontId="15" fillId="0" borderId="8" xfId="0" applyFont="1" applyFill="1" applyBorder="1" applyAlignment="1">
      <alignment vertical="top" shrinkToFit="1"/>
    </xf>
    <xf numFmtId="2" fontId="138" fillId="0" borderId="31" xfId="0" applyNumberFormat="1" applyFont="1" applyFill="1" applyBorder="1" applyAlignment="1">
      <alignment horizontal="right" vertical="top"/>
    </xf>
    <xf numFmtId="2" fontId="137" fillId="0" borderId="22" xfId="0" applyNumberFormat="1" applyFont="1" applyFill="1" applyBorder="1" applyAlignment="1">
      <alignment horizontal="right" vertical="top"/>
    </xf>
    <xf numFmtId="0" fontId="15" fillId="0" borderId="0" xfId="0" applyFont="1" applyFill="1" applyBorder="1" applyAlignment="1">
      <alignment horizontal="center" vertical="top"/>
    </xf>
    <xf numFmtId="2" fontId="15" fillId="0" borderId="0" xfId="0" applyNumberFormat="1" applyFont="1" applyFill="1" applyBorder="1" applyAlignment="1">
      <alignment horizontal="center" vertical="top"/>
    </xf>
    <xf numFmtId="1" fontId="15" fillId="0" borderId="8" xfId="0" applyNumberFormat="1" applyFont="1" applyFill="1" applyBorder="1" applyAlignment="1">
      <alignment horizontal="center" vertical="top" wrapText="1"/>
    </xf>
    <xf numFmtId="2" fontId="30" fillId="0" borderId="8" xfId="0" applyNumberFormat="1" applyFont="1" applyFill="1" applyBorder="1" applyAlignment="1">
      <alignment vertical="top" shrinkToFit="1"/>
    </xf>
    <xf numFmtId="2" fontId="15" fillId="0" borderId="31" xfId="0" applyNumberFormat="1" applyFont="1" applyFill="1" applyBorder="1" applyAlignment="1">
      <alignment horizontal="right" vertical="top"/>
    </xf>
    <xf numFmtId="0" fontId="15" fillId="0" borderId="0" xfId="0" applyFont="1" applyBorder="1" applyAlignment="1"/>
    <xf numFmtId="0" fontId="101" fillId="0" borderId="8" xfId="78" applyFont="1" applyBorder="1" applyAlignment="1">
      <alignment vertical="top"/>
    </xf>
    <xf numFmtId="0" fontId="101" fillId="0" borderId="8" xfId="86" applyFont="1" applyBorder="1" applyAlignment="1">
      <alignment horizontal="center" vertical="top"/>
    </xf>
    <xf numFmtId="2" fontId="64" fillId="0" borderId="0" xfId="0" applyNumberFormat="1" applyFont="1" applyBorder="1" applyAlignment="1">
      <alignment horizontal="right" vertical="top"/>
    </xf>
    <xf numFmtId="0" fontId="64" fillId="0" borderId="0" xfId="86" applyFont="1" applyBorder="1" applyAlignment="1">
      <alignment vertical="top"/>
    </xf>
    <xf numFmtId="0" fontId="64" fillId="0" borderId="0" xfId="86" applyFont="1" applyBorder="1" applyAlignment="1">
      <alignment horizontal="center" vertical="top"/>
    </xf>
    <xf numFmtId="0" fontId="101" fillId="0" borderId="8" xfId="86" applyFont="1" applyBorder="1" applyAlignment="1">
      <alignment horizontal="center" vertical="top" wrapText="1"/>
    </xf>
    <xf numFmtId="0" fontId="101" fillId="0" borderId="8" xfId="0" applyFont="1" applyBorder="1" applyAlignment="1">
      <alignment horizontal="center" vertical="top"/>
    </xf>
    <xf numFmtId="0" fontId="64" fillId="0" borderId="0" xfId="0" applyFont="1" applyBorder="1" applyAlignment="1">
      <alignment vertical="top"/>
    </xf>
    <xf numFmtId="0" fontId="64" fillId="0" borderId="8" xfId="83" applyFont="1" applyBorder="1" applyAlignment="1">
      <alignment vertical="top"/>
    </xf>
    <xf numFmtId="0" fontId="55" fillId="0" borderId="8" xfId="83" applyFont="1" applyBorder="1" applyAlignment="1">
      <alignment vertical="top"/>
    </xf>
    <xf numFmtId="0" fontId="55" fillId="0" borderId="8" xfId="83" applyFont="1" applyBorder="1" applyAlignment="1">
      <alignment horizontal="left" vertical="top"/>
    </xf>
    <xf numFmtId="0" fontId="64" fillId="0" borderId="8" xfId="85" applyFont="1" applyBorder="1" applyAlignment="1">
      <alignment horizontal="center" vertical="top" wrapText="1"/>
    </xf>
    <xf numFmtId="0" fontId="64" fillId="0" borderId="0" xfId="85" applyFont="1" applyBorder="1" applyAlignment="1">
      <alignment vertical="top"/>
    </xf>
    <xf numFmtId="0" fontId="56" fillId="0" borderId="8" xfId="83" applyFont="1" applyBorder="1" applyAlignment="1">
      <alignment horizontal="center" vertical="center" wrapText="1"/>
    </xf>
    <xf numFmtId="0" fontId="78" fillId="0" borderId="0" xfId="0" applyFont="1" applyBorder="1" applyAlignment="1">
      <alignment horizontal="center" vertical="top"/>
    </xf>
    <xf numFmtId="0" fontId="79" fillId="0" borderId="0" xfId="0" applyFont="1" applyFill="1" applyBorder="1" applyAlignment="1">
      <alignment horizontal="justify" vertical="top"/>
    </xf>
    <xf numFmtId="169" fontId="79" fillId="0" borderId="0" xfId="0" applyNumberFormat="1" applyFont="1" applyBorder="1" applyAlignment="1">
      <alignment horizontal="right" vertical="top"/>
    </xf>
    <xf numFmtId="0" fontId="79" fillId="0" borderId="0" xfId="0" applyFont="1" applyBorder="1" applyAlignment="1"/>
    <xf numFmtId="0" fontId="79" fillId="42" borderId="8" xfId="0" applyFont="1" applyFill="1" applyBorder="1" applyAlignment="1">
      <alignment horizontal="center" vertical="center" wrapText="1"/>
    </xf>
    <xf numFmtId="0" fontId="78" fillId="42" borderId="8" xfId="0" applyFont="1" applyFill="1" applyBorder="1" applyAlignment="1">
      <alignment wrapText="1"/>
    </xf>
    <xf numFmtId="169" fontId="79" fillId="42" borderId="8" xfId="0" applyNumberFormat="1" applyFont="1" applyFill="1" applyBorder="1" applyAlignment="1">
      <alignment horizontal="center" vertical="top" wrapText="1"/>
    </xf>
    <xf numFmtId="2" fontId="79" fillId="42" borderId="8" xfId="0" applyNumberFormat="1" applyFont="1" applyFill="1" applyBorder="1" applyAlignment="1">
      <alignment horizontal="center" vertical="center" wrapText="1"/>
    </xf>
    <xf numFmtId="2" fontId="79" fillId="42" borderId="8" xfId="0" applyNumberFormat="1" applyFont="1" applyFill="1" applyBorder="1" applyAlignment="1">
      <alignment horizontal="right" vertical="center" wrapText="1"/>
    </xf>
    <xf numFmtId="169" fontId="135" fillId="42" borderId="8" xfId="0" applyNumberFormat="1" applyFont="1" applyFill="1" applyBorder="1" applyAlignment="1">
      <alignment horizontal="right" vertical="center" wrapText="1"/>
    </xf>
    <xf numFmtId="169" fontId="78" fillId="42" borderId="8" xfId="0" applyNumberFormat="1" applyFont="1" applyFill="1" applyBorder="1" applyAlignment="1">
      <alignment horizontal="right" vertical="center" wrapText="1"/>
    </xf>
    <xf numFmtId="0" fontId="79" fillId="42" borderId="8" xfId="0" applyFont="1" applyFill="1" applyBorder="1"/>
    <xf numFmtId="0" fontId="79" fillId="42" borderId="0" xfId="0" applyFont="1" applyFill="1" applyBorder="1"/>
    <xf numFmtId="0" fontId="78" fillId="42" borderId="8" xfId="0" applyFont="1" applyFill="1" applyBorder="1"/>
    <xf numFmtId="2" fontId="79" fillId="42" borderId="8" xfId="0" applyNumberFormat="1" applyFont="1" applyFill="1" applyBorder="1" applyAlignment="1">
      <alignment horizontal="right" vertical="top" wrapText="1"/>
    </xf>
    <xf numFmtId="170" fontId="78" fillId="42" borderId="8" xfId="0" applyNumberFormat="1" applyFont="1" applyFill="1" applyBorder="1" applyAlignment="1">
      <alignment horizontal="center" vertical="center" wrapText="1"/>
    </xf>
    <xf numFmtId="170" fontId="78" fillId="42" borderId="0" xfId="0" applyNumberFormat="1" applyFont="1" applyFill="1" applyBorder="1" applyAlignment="1">
      <alignment horizontal="center" vertical="center" wrapText="1"/>
    </xf>
    <xf numFmtId="0" fontId="78" fillId="42" borderId="8" xfId="0" applyFont="1" applyFill="1" applyBorder="1" applyAlignment="1">
      <alignment horizontal="justify" vertical="top" wrapText="1"/>
    </xf>
    <xf numFmtId="2" fontId="78" fillId="42" borderId="8" xfId="0" applyNumberFormat="1" applyFont="1" applyFill="1" applyBorder="1" applyAlignment="1">
      <alignment horizontal="center" vertical="top" shrinkToFit="1"/>
    </xf>
    <xf numFmtId="2" fontId="79" fillId="42" borderId="8" xfId="0" applyNumberFormat="1" applyFont="1" applyFill="1" applyBorder="1" applyAlignment="1">
      <alignment horizontal="center" vertical="top" wrapText="1"/>
    </xf>
    <xf numFmtId="2" fontId="78" fillId="42" borderId="8" xfId="0" applyNumberFormat="1" applyFont="1" applyFill="1" applyBorder="1" applyAlignment="1">
      <alignment horizontal="right" vertical="top" wrapText="1"/>
    </xf>
    <xf numFmtId="167" fontId="79" fillId="42" borderId="8" xfId="0" applyNumberFormat="1" applyFont="1" applyFill="1" applyBorder="1" applyAlignment="1">
      <alignment horizontal="center" vertical="top" wrapText="1"/>
    </xf>
    <xf numFmtId="170" fontId="78" fillId="42" borderId="8" xfId="0" applyNumberFormat="1" applyFont="1" applyFill="1" applyBorder="1" applyAlignment="1">
      <alignment horizontal="center" vertical="top" wrapText="1"/>
    </xf>
    <xf numFmtId="2" fontId="135" fillId="42" borderId="8" xfId="0" applyNumberFormat="1" applyFont="1" applyFill="1" applyBorder="1" applyAlignment="1">
      <alignment horizontal="right" vertical="top" wrapText="1"/>
    </xf>
    <xf numFmtId="0" fontId="7" fillId="43" borderId="8" xfId="0" applyFont="1" applyFill="1" applyBorder="1" applyAlignment="1">
      <alignment horizontal="justify" vertical="top" wrapText="1"/>
    </xf>
    <xf numFmtId="0" fontId="86" fillId="0" borderId="8" xfId="0" applyFont="1" applyFill="1" applyBorder="1" applyAlignment="1">
      <alignment horizontal="center" vertical="top" wrapText="1"/>
    </xf>
    <xf numFmtId="0" fontId="140" fillId="0" borderId="8" xfId="0" applyFont="1" applyFill="1" applyBorder="1" applyAlignment="1">
      <alignment horizontal="left" vertical="top" wrapText="1"/>
    </xf>
    <xf numFmtId="2" fontId="140" fillId="0" borderId="8" xfId="0" applyNumberFormat="1" applyFont="1" applyFill="1" applyBorder="1" applyAlignment="1">
      <alignment horizontal="center" vertical="top" shrinkToFit="1"/>
    </xf>
    <xf numFmtId="2" fontId="140" fillId="0" borderId="8" xfId="0" applyNumberFormat="1" applyFont="1" applyFill="1" applyBorder="1" applyAlignment="1">
      <alignment horizontal="center" vertical="top" wrapText="1"/>
    </xf>
    <xf numFmtId="0" fontId="140" fillId="0" borderId="0" xfId="0" applyFont="1" applyFill="1" applyBorder="1"/>
    <xf numFmtId="0" fontId="86" fillId="0" borderId="8" xfId="0" applyFont="1" applyFill="1" applyBorder="1" applyAlignment="1">
      <alignment horizontal="center" vertical="center" wrapText="1"/>
    </xf>
    <xf numFmtId="169" fontId="86" fillId="0" borderId="8" xfId="0" applyNumberFormat="1" applyFont="1" applyFill="1" applyBorder="1" applyAlignment="1">
      <alignment horizontal="left" vertical="top" wrapText="1"/>
    </xf>
    <xf numFmtId="169" fontId="140" fillId="0" borderId="8" xfId="0" applyNumberFormat="1" applyFont="1" applyFill="1" applyBorder="1" applyAlignment="1">
      <alignment horizontal="center" vertical="top" wrapText="1"/>
    </xf>
    <xf numFmtId="169" fontId="86" fillId="0" borderId="8" xfId="0" applyNumberFormat="1" applyFont="1" applyFill="1" applyBorder="1" applyAlignment="1">
      <alignment horizontal="center" vertical="top" wrapText="1"/>
    </xf>
    <xf numFmtId="0" fontId="122" fillId="0" borderId="0" xfId="0" applyFont="1" applyFill="1" applyBorder="1" applyAlignment="1">
      <alignment horizontal="right"/>
    </xf>
    <xf numFmtId="0" fontId="122" fillId="0" borderId="0" xfId="0" applyFont="1" applyFill="1" applyBorder="1" applyAlignment="1">
      <alignment horizontal="center"/>
    </xf>
    <xf numFmtId="0" fontId="51" fillId="41" borderId="0" xfId="0" applyFont="1" applyFill="1" applyBorder="1" applyAlignment="1">
      <alignment horizontal="center" vertical="top" wrapText="1"/>
    </xf>
    <xf numFmtId="0" fontId="7" fillId="41" borderId="0" xfId="0" applyFont="1" applyFill="1" applyBorder="1" applyAlignment="1">
      <alignment horizontal="center" vertical="top"/>
    </xf>
    <xf numFmtId="0" fontId="52" fillId="41" borderId="0" xfId="0" applyFont="1" applyFill="1" applyBorder="1" applyAlignment="1">
      <alignment vertical="top" wrapText="1"/>
    </xf>
    <xf numFmtId="0" fontId="51" fillId="41" borderId="0" xfId="113" applyFont="1" applyFill="1" applyBorder="1" applyAlignment="1">
      <alignment horizontal="right" vertical="center" wrapText="1"/>
    </xf>
    <xf numFmtId="2" fontId="51" fillId="41" borderId="0" xfId="113" applyNumberFormat="1" applyFont="1" applyFill="1" applyBorder="1" applyAlignment="1">
      <alignment horizontal="right" vertical="center" wrapText="1"/>
    </xf>
    <xf numFmtId="2" fontId="52" fillId="41" borderId="0" xfId="113" applyNumberFormat="1" applyFont="1" applyFill="1" applyBorder="1" applyAlignment="1">
      <alignment horizontal="right" vertical="center" wrapText="1"/>
    </xf>
    <xf numFmtId="0" fontId="15" fillId="0" borderId="0" xfId="105" applyFont="1" applyFill="1" applyBorder="1" applyAlignment="1">
      <alignment horizontal="center" vertical="center"/>
    </xf>
    <xf numFmtId="2" fontId="15" fillId="0" borderId="0" xfId="105" applyNumberFormat="1" applyFont="1" applyFill="1" applyBorder="1" applyAlignment="1">
      <alignment horizontal="center" vertical="center"/>
    </xf>
    <xf numFmtId="0" fontId="15" fillId="0" borderId="8" xfId="0" applyFont="1" applyFill="1" applyBorder="1" applyAlignment="1">
      <alignment horizontal="justify" vertical="top" wrapText="1"/>
    </xf>
    <xf numFmtId="0" fontId="119" fillId="0" borderId="0" xfId="0" applyFont="1" applyFill="1" applyAlignment="1">
      <alignment horizontal="center"/>
    </xf>
    <xf numFmtId="0" fontId="124" fillId="0" borderId="0" xfId="0" applyFont="1" applyFill="1" applyBorder="1" applyAlignment="1">
      <alignment horizontal="center" wrapText="1"/>
    </xf>
    <xf numFmtId="1" fontId="15" fillId="0" borderId="8" xfId="0" applyNumberFormat="1" applyFont="1" applyFill="1" applyBorder="1" applyAlignment="1">
      <alignment horizontal="center" vertical="center" wrapText="1"/>
    </xf>
    <xf numFmtId="1" fontId="15" fillId="0" borderId="36" xfId="0" applyNumberFormat="1" applyFont="1" applyFill="1" applyBorder="1" applyAlignment="1">
      <alignment horizontal="center" vertical="center"/>
    </xf>
    <xf numFmtId="1" fontId="15" fillId="0" borderId="0" xfId="0" applyNumberFormat="1" applyFont="1" applyFill="1" applyBorder="1"/>
    <xf numFmtId="2" fontId="15" fillId="0" borderId="39" xfId="0" applyNumberFormat="1" applyFont="1" applyFill="1" applyBorder="1" applyAlignment="1">
      <alignment horizontal="center" vertical="center"/>
    </xf>
    <xf numFmtId="2" fontId="15" fillId="0" borderId="40" xfId="0" applyNumberFormat="1" applyFont="1" applyFill="1" applyBorder="1" applyAlignment="1">
      <alignment horizontal="center" vertical="center"/>
    </xf>
    <xf numFmtId="169" fontId="15" fillId="0" borderId="8" xfId="0" applyNumberFormat="1" applyFont="1" applyFill="1" applyBorder="1" applyAlignment="1">
      <alignment horizontal="center" vertical="top" wrapText="1"/>
    </xf>
    <xf numFmtId="1" fontId="15" fillId="0" borderId="15" xfId="0" applyNumberFormat="1" applyFont="1" applyFill="1" applyBorder="1" applyAlignment="1">
      <alignment horizontal="center" vertical="center"/>
    </xf>
    <xf numFmtId="0" fontId="30" fillId="0" borderId="8" xfId="0" applyFont="1" applyFill="1" applyBorder="1" applyAlignment="1">
      <alignment horizontal="justify" vertical="top" wrapText="1"/>
    </xf>
    <xf numFmtId="1" fontId="15" fillId="0" borderId="0" xfId="0" applyNumberFormat="1" applyFont="1" applyFill="1" applyBorder="1" applyAlignment="1">
      <alignment vertical="top"/>
    </xf>
    <xf numFmtId="0" fontId="30" fillId="0" borderId="0" xfId="0" applyFont="1" applyFill="1" applyBorder="1"/>
    <xf numFmtId="0" fontId="15" fillId="0" borderId="0" xfId="0" applyFont="1" applyFill="1" applyBorder="1" applyAlignment="1">
      <alignment horizontal="left"/>
    </xf>
    <xf numFmtId="0" fontId="15" fillId="0" borderId="0" xfId="0" applyFont="1" applyFill="1" applyBorder="1" applyAlignment="1"/>
    <xf numFmtId="2" fontId="15" fillId="0" borderId="0" xfId="0" applyNumberFormat="1" applyFont="1" applyFill="1" applyBorder="1" applyAlignment="1">
      <alignment horizontal="left"/>
    </xf>
    <xf numFmtId="0" fontId="15" fillId="0" borderId="0" xfId="82" applyFont="1" applyFill="1" applyBorder="1" applyAlignment="1">
      <alignment horizontal="center" vertical="top"/>
    </xf>
    <xf numFmtId="0" fontId="30" fillId="0" borderId="0" xfId="82" applyFont="1" applyFill="1" applyBorder="1" applyAlignment="1">
      <alignment horizontal="center" vertical="top"/>
    </xf>
    <xf numFmtId="0" fontId="30" fillId="0" borderId="0" xfId="82" applyFont="1" applyFill="1" applyBorder="1" applyAlignment="1">
      <alignment vertical="top"/>
    </xf>
    <xf numFmtId="0" fontId="15" fillId="0" borderId="0" xfId="0" applyFont="1" applyFill="1" applyBorder="1" applyAlignment="1">
      <alignment horizontal="center"/>
    </xf>
    <xf numFmtId="2" fontId="139" fillId="0" borderId="0" xfId="0" applyNumberFormat="1" applyFont="1" applyFill="1" applyBorder="1"/>
    <xf numFmtId="0" fontId="78" fillId="0" borderId="8" xfId="0" applyFont="1" applyBorder="1" applyAlignment="1">
      <alignment horizontal="center" vertical="top" wrapText="1"/>
    </xf>
    <xf numFmtId="170" fontId="78" fillId="0" borderId="8" xfId="0" applyNumberFormat="1" applyFont="1" applyBorder="1" applyAlignment="1">
      <alignment horizontal="center" vertical="top" wrapText="1"/>
    </xf>
    <xf numFmtId="0" fontId="78" fillId="0" borderId="8" xfId="0" applyFont="1" applyBorder="1" applyAlignment="1">
      <alignment horizontal="justify" vertical="top" wrapText="1"/>
    </xf>
    <xf numFmtId="0" fontId="79" fillId="0" borderId="8" xfId="0" applyFont="1" applyBorder="1" applyAlignment="1">
      <alignment horizontal="justify" vertical="top" shrinkToFit="1"/>
    </xf>
    <xf numFmtId="2" fontId="79" fillId="0" borderId="8" xfId="0" applyNumberFormat="1" applyFont="1" applyBorder="1" applyAlignment="1">
      <alignment horizontal="center" vertical="top" wrapText="1"/>
    </xf>
    <xf numFmtId="2" fontId="79" fillId="0" borderId="8" xfId="0" applyNumberFormat="1" applyFont="1" applyBorder="1" applyAlignment="1">
      <alignment horizontal="right" vertical="top" wrapText="1"/>
    </xf>
    <xf numFmtId="0" fontId="79" fillId="0" borderId="8" xfId="0" applyFont="1" applyBorder="1" applyAlignment="1">
      <alignment horizontal="right" vertical="top" wrapText="1"/>
    </xf>
    <xf numFmtId="170" fontId="79" fillId="0" borderId="8" xfId="0" applyNumberFormat="1" applyFont="1" applyBorder="1" applyAlignment="1">
      <alignment horizontal="center" vertical="top" wrapText="1"/>
    </xf>
    <xf numFmtId="0" fontId="79" fillId="0" borderId="8" xfId="0" applyFont="1" applyBorder="1" applyAlignment="1">
      <alignment horizontal="justify" vertical="top" wrapText="1"/>
    </xf>
    <xf numFmtId="2" fontId="79" fillId="0" borderId="8" xfId="0" applyNumberFormat="1" applyFont="1" applyBorder="1" applyAlignment="1">
      <alignment horizontal="center" vertical="top" shrinkToFit="1"/>
    </xf>
    <xf numFmtId="170" fontId="79" fillId="0" borderId="8" xfId="0" applyNumberFormat="1" applyFont="1" applyFill="1" applyBorder="1" applyAlignment="1">
      <alignment horizontal="center" vertical="top" wrapText="1"/>
    </xf>
    <xf numFmtId="0" fontId="79" fillId="40" borderId="8" xfId="0" applyFont="1" applyFill="1" applyBorder="1" applyAlignment="1">
      <alignment horizontal="justify" vertical="top" wrapText="1"/>
    </xf>
    <xf numFmtId="2" fontId="79" fillId="40" borderId="8" xfId="0" applyNumberFormat="1" applyFont="1" applyFill="1" applyBorder="1" applyAlignment="1">
      <alignment horizontal="center" vertical="top" shrinkToFit="1"/>
    </xf>
    <xf numFmtId="2" fontId="79" fillId="40" borderId="8" xfId="0" applyNumberFormat="1" applyFont="1" applyFill="1" applyBorder="1" applyAlignment="1">
      <alignment horizontal="right" vertical="top" shrinkToFit="1"/>
    </xf>
    <xf numFmtId="2" fontId="79" fillId="43" borderId="8" xfId="0" applyNumberFormat="1" applyFont="1" applyFill="1" applyBorder="1" applyAlignment="1">
      <alignment horizontal="right" vertical="top" wrapText="1"/>
    </xf>
    <xf numFmtId="170" fontId="93" fillId="0" borderId="8" xfId="0" applyNumberFormat="1" applyFont="1" applyBorder="1" applyAlignment="1">
      <alignment horizontal="center" vertical="top" wrapText="1"/>
    </xf>
    <xf numFmtId="2" fontId="78" fillId="0" borderId="8" xfId="0" applyNumberFormat="1" applyFont="1" applyBorder="1" applyAlignment="1">
      <alignment horizontal="center" vertical="top" shrinkToFit="1"/>
    </xf>
    <xf numFmtId="175" fontId="79" fillId="0" borderId="8" xfId="0" applyNumberFormat="1" applyFont="1" applyBorder="1" applyAlignment="1">
      <alignment horizontal="right" vertical="top" wrapText="1"/>
    </xf>
    <xf numFmtId="2" fontId="79" fillId="0" borderId="8" xfId="0" applyNumberFormat="1" applyFont="1" applyFill="1" applyBorder="1" applyAlignment="1">
      <alignment horizontal="center" vertical="top" shrinkToFit="1"/>
    </xf>
    <xf numFmtId="2" fontId="79" fillId="0" borderId="8" xfId="0" applyNumberFormat="1" applyFont="1" applyFill="1" applyBorder="1" applyAlignment="1">
      <alignment horizontal="right" vertical="top" shrinkToFit="1"/>
    </xf>
    <xf numFmtId="2" fontId="78" fillId="40" borderId="8" xfId="0" applyNumberFormat="1" applyFont="1" applyFill="1" applyBorder="1" applyAlignment="1">
      <alignment horizontal="right" vertical="top" wrapText="1"/>
    </xf>
    <xf numFmtId="0" fontId="0" fillId="43" borderId="8" xfId="0" applyFill="1" applyBorder="1" applyAlignment="1">
      <alignment horizontal="center"/>
    </xf>
    <xf numFmtId="0" fontId="0" fillId="43" borderId="8" xfId="0" applyFill="1" applyBorder="1"/>
    <xf numFmtId="2" fontId="0" fillId="43" borderId="8" xfId="0" applyNumberFormat="1" applyFill="1" applyBorder="1"/>
    <xf numFmtId="0" fontId="0" fillId="43" borderId="0" xfId="0" applyFill="1"/>
    <xf numFmtId="0" fontId="141" fillId="0" borderId="0" xfId="0" applyFont="1"/>
    <xf numFmtId="0" fontId="0" fillId="0" borderId="0" xfId="0" applyFont="1" applyAlignment="1"/>
    <xf numFmtId="0" fontId="142" fillId="0" borderId="0" xfId="0" applyFont="1" applyAlignment="1">
      <alignment vertical="center"/>
    </xf>
    <xf numFmtId="0" fontId="143" fillId="0" borderId="0" xfId="0" applyFont="1" applyAlignment="1">
      <alignment horizontal="center" vertical="center"/>
    </xf>
    <xf numFmtId="0" fontId="142" fillId="0" borderId="0" xfId="0" applyFont="1" applyAlignment="1">
      <alignment vertical="top"/>
    </xf>
    <xf numFmtId="0" fontId="143" fillId="0" borderId="0" xfId="0" applyFont="1" applyAlignment="1">
      <alignment horizontal="center" vertical="top"/>
    </xf>
    <xf numFmtId="0" fontId="142" fillId="0" borderId="0" xfId="0" applyFont="1" applyAlignment="1">
      <alignment horizontal="center" vertical="top"/>
    </xf>
    <xf numFmtId="0" fontId="142" fillId="0" borderId="0" xfId="0" applyFont="1"/>
    <xf numFmtId="0" fontId="143" fillId="0" borderId="0" xfId="0" applyFont="1" applyAlignment="1">
      <alignment horizontal="center"/>
    </xf>
    <xf numFmtId="2" fontId="142" fillId="0" borderId="0" xfId="0" applyNumberFormat="1" applyFont="1" applyAlignment="1">
      <alignment horizontal="left"/>
    </xf>
    <xf numFmtId="0" fontId="142" fillId="0" borderId="0" xfId="0" applyFont="1" applyAlignment="1">
      <alignment vertical="top" wrapText="1"/>
    </xf>
    <xf numFmtId="0" fontId="143" fillId="0" borderId="0" xfId="0" applyFont="1" applyAlignment="1">
      <alignment horizontal="center" vertical="top" wrapText="1"/>
    </xf>
    <xf numFmtId="0" fontId="142" fillId="0" borderId="0" xfId="0" applyFont="1" applyAlignment="1">
      <alignment horizontal="center"/>
    </xf>
    <xf numFmtId="0" fontId="144" fillId="0" borderId="0" xfId="0" applyFont="1" applyAlignment="1">
      <alignment horizontal="center"/>
    </xf>
    <xf numFmtId="0" fontId="15" fillId="0" borderId="10" xfId="0" applyFont="1" applyBorder="1"/>
    <xf numFmtId="0" fontId="15" fillId="0" borderId="38" xfId="0" applyFont="1" applyBorder="1"/>
    <xf numFmtId="0" fontId="15" fillId="0" borderId="19" xfId="0" applyFont="1" applyBorder="1"/>
    <xf numFmtId="0" fontId="30" fillId="0" borderId="0" xfId="0" applyFont="1" applyBorder="1"/>
    <xf numFmtId="0" fontId="15" fillId="0" borderId="45" xfId="0" applyFont="1" applyBorder="1"/>
    <xf numFmtId="0" fontId="15" fillId="0" borderId="46" xfId="0" applyFont="1" applyBorder="1"/>
    <xf numFmtId="0" fontId="15" fillId="0" borderId="47" xfId="0" applyFont="1" applyBorder="1"/>
    <xf numFmtId="0" fontId="15" fillId="0" borderId="48" xfId="0" applyFont="1" applyBorder="1"/>
    <xf numFmtId="0" fontId="15" fillId="0" borderId="49" xfId="0" applyFont="1" applyBorder="1"/>
    <xf numFmtId="0" fontId="15" fillId="0" borderId="15" xfId="0" applyFont="1" applyBorder="1"/>
    <xf numFmtId="0" fontId="15" fillId="0" borderId="16" xfId="0" applyFont="1" applyBorder="1"/>
    <xf numFmtId="0" fontId="0" fillId="0" borderId="42" xfId="0" applyBorder="1"/>
    <xf numFmtId="0" fontId="0" fillId="0" borderId="43" xfId="0" applyBorder="1"/>
    <xf numFmtId="0" fontId="0" fillId="0" borderId="44" xfId="0" applyBorder="1"/>
    <xf numFmtId="0" fontId="0" fillId="0" borderId="45" xfId="0" applyBorder="1"/>
    <xf numFmtId="0" fontId="0" fillId="0" borderId="46" xfId="0" applyBorder="1"/>
    <xf numFmtId="0" fontId="0" fillId="0" borderId="47" xfId="0" applyBorder="1"/>
    <xf numFmtId="0" fontId="0" fillId="0" borderId="48" xfId="0" applyBorder="1"/>
    <xf numFmtId="0" fontId="0" fillId="0" borderId="49" xfId="0" applyBorder="1"/>
    <xf numFmtId="0" fontId="0" fillId="48" borderId="51" xfId="0" applyFill="1" applyBorder="1" applyAlignment="1"/>
    <xf numFmtId="0" fontId="0" fillId="48" borderId="46" xfId="0" applyFill="1" applyBorder="1" applyAlignment="1"/>
    <xf numFmtId="0" fontId="0" fillId="48" borderId="49" xfId="0" applyFill="1" applyBorder="1" applyAlignment="1"/>
    <xf numFmtId="0" fontId="7" fillId="0" borderId="0" xfId="0" applyFont="1" applyBorder="1" applyAlignment="1"/>
    <xf numFmtId="0" fontId="0" fillId="0" borderId="0" xfId="0" applyBorder="1" applyAlignment="1"/>
    <xf numFmtId="0" fontId="0" fillId="47" borderId="0" xfId="0" applyFill="1" applyBorder="1"/>
    <xf numFmtId="0" fontId="7" fillId="0" borderId="0" xfId="114"/>
    <xf numFmtId="0" fontId="7" fillId="0" borderId="0" xfId="115" applyFont="1" applyAlignment="1">
      <alignment horizontal="center" vertical="top" shrinkToFit="1"/>
    </xf>
    <xf numFmtId="0" fontId="149" fillId="0" borderId="0" xfId="114" applyFont="1" applyAlignment="1">
      <alignment horizontal="center" vertical="center"/>
    </xf>
    <xf numFmtId="0" fontId="150" fillId="0" borderId="0" xfId="114" applyFont="1" applyAlignment="1">
      <alignment horizontal="center" vertical="center"/>
    </xf>
    <xf numFmtId="0" fontId="151" fillId="0" borderId="0" xfId="114" applyFont="1" applyAlignment="1">
      <alignment horizontal="center" vertical="center" wrapText="1"/>
    </xf>
    <xf numFmtId="0" fontId="152" fillId="0" borderId="0" xfId="114" applyFont="1" applyAlignment="1">
      <alignment horizontal="center" vertical="center" wrapText="1"/>
    </xf>
    <xf numFmtId="0" fontId="154" fillId="0" borderId="0" xfId="114" applyFont="1" applyAlignment="1">
      <alignment horizontal="center" vertical="top" wrapText="1"/>
    </xf>
    <xf numFmtId="0" fontId="154" fillId="0" borderId="0" xfId="114" applyFont="1" applyAlignment="1">
      <alignment vertical="top" wrapText="1"/>
    </xf>
    <xf numFmtId="0" fontId="154" fillId="0" borderId="0" xfId="114" applyFont="1" applyAlignment="1">
      <alignment vertical="top"/>
    </xf>
    <xf numFmtId="0" fontId="155" fillId="0" borderId="0" xfId="114" applyFont="1"/>
    <xf numFmtId="0" fontId="7" fillId="0" borderId="0" xfId="0" applyFont="1"/>
    <xf numFmtId="0" fontId="156" fillId="0" borderId="0" xfId="114" applyFont="1" applyAlignment="1">
      <alignment horizontal="center" vertical="center" wrapText="1"/>
    </xf>
    <xf numFmtId="0" fontId="157" fillId="0" borderId="0" xfId="114" applyFont="1" applyAlignment="1">
      <alignment horizontal="center" vertical="center" wrapText="1"/>
    </xf>
    <xf numFmtId="0" fontId="158" fillId="0" borderId="0" xfId="114" applyFont="1" applyAlignment="1">
      <alignment vertical="top" wrapText="1"/>
    </xf>
    <xf numFmtId="0" fontId="159" fillId="0" borderId="0" xfId="114" applyFont="1" applyAlignment="1">
      <alignment vertical="top"/>
    </xf>
    <xf numFmtId="0" fontId="159" fillId="0" borderId="0" xfId="114" applyFont="1" applyAlignment="1">
      <alignment vertical="top" wrapText="1"/>
    </xf>
    <xf numFmtId="0" fontId="153" fillId="0" borderId="0" xfId="114" applyFont="1" applyAlignment="1">
      <alignment horizontal="center" vertical="center" wrapText="1"/>
    </xf>
    <xf numFmtId="0" fontId="160" fillId="0" borderId="0" xfId="114" applyFont="1" applyAlignment="1">
      <alignment horizontal="center" vertical="center" wrapText="1"/>
    </xf>
    <xf numFmtId="0" fontId="7" fillId="0" borderId="0" xfId="114" applyFont="1"/>
    <xf numFmtId="0" fontId="10" fillId="0" borderId="0" xfId="114" applyFont="1"/>
    <xf numFmtId="0" fontId="105" fillId="0" borderId="0" xfId="114" applyFont="1" applyAlignment="1">
      <alignment horizontal="center"/>
    </xf>
    <xf numFmtId="0" fontId="105" fillId="0" borderId="0" xfId="114" applyFont="1"/>
    <xf numFmtId="0" fontId="8" fillId="0" borderId="0" xfId="114" applyFont="1"/>
    <xf numFmtId="0" fontId="8" fillId="0" borderId="0" xfId="0" applyFont="1"/>
    <xf numFmtId="0" fontId="161" fillId="0" borderId="0" xfId="114" applyFont="1" applyAlignment="1">
      <alignment horizontal="center" vertical="center" wrapText="1"/>
    </xf>
    <xf numFmtId="0" fontId="8" fillId="0" borderId="0" xfId="114" applyFont="1" applyAlignment="1">
      <alignment horizontal="center" vertical="center" wrapText="1"/>
    </xf>
    <xf numFmtId="0" fontId="162" fillId="0" borderId="0" xfId="114" applyFont="1" applyAlignment="1">
      <alignment horizontal="center" vertical="center" wrapText="1"/>
    </xf>
    <xf numFmtId="0" fontId="16" fillId="0" borderId="0" xfId="114" applyFont="1" applyAlignment="1">
      <alignment horizontal="right"/>
    </xf>
    <xf numFmtId="0" fontId="16" fillId="0" borderId="0" xfId="114" applyFont="1" applyAlignment="1">
      <alignment horizontal="center"/>
    </xf>
    <xf numFmtId="0" fontId="16" fillId="0" borderId="0" xfId="114" applyFont="1" applyAlignment="1">
      <alignment horizontal="left"/>
    </xf>
    <xf numFmtId="0" fontId="163" fillId="0" borderId="0" xfId="114" applyFont="1" applyAlignment="1">
      <alignment horizontal="left"/>
    </xf>
    <xf numFmtId="0" fontId="164" fillId="0" borderId="0" xfId="114" applyFont="1"/>
    <xf numFmtId="0" fontId="165" fillId="0" borderId="0" xfId="114" applyFont="1" applyAlignment="1">
      <alignment horizontal="centerContinuous" vertical="center" wrapText="1"/>
    </xf>
    <xf numFmtId="0" fontId="165" fillId="0" borderId="0" xfId="114" applyFont="1" applyAlignment="1">
      <alignment horizontal="centerContinuous" vertical="center"/>
    </xf>
    <xf numFmtId="0" fontId="166" fillId="0" borderId="0" xfId="114" applyFont="1" applyAlignment="1">
      <alignment horizontal="centerContinuous" vertical="center"/>
    </xf>
    <xf numFmtId="0" fontId="167" fillId="0" borderId="0" xfId="114" applyFont="1" applyAlignment="1">
      <alignment horizontal="center" vertical="center"/>
    </xf>
    <xf numFmtId="0" fontId="168" fillId="0" borderId="0" xfId="114" applyFont="1" applyAlignment="1">
      <alignment horizontal="center" vertical="center"/>
    </xf>
    <xf numFmtId="0" fontId="169" fillId="0" borderId="0" xfId="114" applyFont="1" applyAlignment="1">
      <alignment horizontal="center" vertical="center"/>
    </xf>
    <xf numFmtId="0" fontId="110" fillId="0" borderId="0" xfId="114" applyFont="1"/>
    <xf numFmtId="0" fontId="169" fillId="0" borderId="0" xfId="114" applyFont="1" applyAlignment="1">
      <alignment horizontal="left" vertical="center"/>
    </xf>
    <xf numFmtId="167" fontId="7" fillId="0" borderId="0" xfId="114" applyNumberFormat="1"/>
    <xf numFmtId="2" fontId="105" fillId="0" borderId="0" xfId="114" applyNumberFormat="1" applyFont="1" applyAlignment="1"/>
    <xf numFmtId="0" fontId="78" fillId="0" borderId="4" xfId="0" applyFont="1" applyFill="1" applyBorder="1" applyAlignment="1">
      <alignment vertical="center" wrapText="1"/>
    </xf>
    <xf numFmtId="0" fontId="78" fillId="0" borderId="36" xfId="0" applyFont="1" applyFill="1" applyBorder="1" applyAlignment="1">
      <alignment vertical="center" wrapText="1"/>
    </xf>
    <xf numFmtId="0" fontId="174" fillId="0" borderId="8" xfId="0" applyFont="1" applyBorder="1" applyAlignment="1">
      <alignment horizontal="center" vertical="top"/>
    </xf>
    <xf numFmtId="0" fontId="175" fillId="0" borderId="0" xfId="116" applyFont="1"/>
    <xf numFmtId="0" fontId="175" fillId="0" borderId="8" xfId="0" applyFont="1" applyBorder="1" applyAlignment="1">
      <alignment horizontal="center"/>
    </xf>
    <xf numFmtId="0" fontId="175" fillId="0" borderId="8" xfId="0" applyFont="1" applyBorder="1" applyAlignment="1">
      <alignment horizontal="left" vertical="center" wrapText="1"/>
    </xf>
    <xf numFmtId="0" fontId="175" fillId="0" borderId="8" xfId="0" applyFont="1" applyBorder="1" applyAlignment="1">
      <alignment horizontal="center" vertical="center"/>
    </xf>
    <xf numFmtId="2" fontId="175" fillId="0" borderId="8" xfId="0" applyNumberFormat="1" applyFont="1" applyBorder="1" applyAlignment="1">
      <alignment horizontal="center" vertical="center"/>
    </xf>
    <xf numFmtId="1" fontId="174" fillId="0" borderId="8" xfId="0" applyNumberFormat="1" applyFont="1" applyBorder="1" applyAlignment="1">
      <alignment horizontal="right" vertical="center"/>
    </xf>
    <xf numFmtId="0" fontId="174" fillId="0" borderId="8" xfId="0" applyFont="1" applyBorder="1" applyAlignment="1">
      <alignment horizontal="left" vertical="center" wrapText="1"/>
    </xf>
    <xf numFmtId="2" fontId="175" fillId="0" borderId="8" xfId="0" applyNumberFormat="1" applyFont="1" applyBorder="1" applyAlignment="1">
      <alignment horizontal="right" vertical="center"/>
    </xf>
    <xf numFmtId="0" fontId="175" fillId="0" borderId="0" xfId="116" applyFont="1" applyAlignment="1">
      <alignment vertical="center"/>
    </xf>
    <xf numFmtId="2" fontId="174" fillId="0" borderId="8" xfId="0" applyNumberFormat="1" applyFont="1" applyBorder="1" applyAlignment="1">
      <alignment horizontal="right" vertical="center"/>
    </xf>
    <xf numFmtId="2" fontId="175" fillId="0" borderId="8" xfId="0" applyNumberFormat="1" applyFont="1" applyBorder="1" applyAlignment="1">
      <alignment horizontal="center" vertical="center" wrapText="1"/>
    </xf>
    <xf numFmtId="0" fontId="176" fillId="50" borderId="8" xfId="0" applyFont="1" applyFill="1" applyBorder="1" applyAlignment="1">
      <alignment horizontal="left" vertical="center" wrapText="1"/>
    </xf>
    <xf numFmtId="167" fontId="175" fillId="0" borderId="0" xfId="116" applyNumberFormat="1" applyFont="1"/>
    <xf numFmtId="166" fontId="175" fillId="0" borderId="0" xfId="116" applyNumberFormat="1" applyFont="1"/>
    <xf numFmtId="2" fontId="174" fillId="0" borderId="8" xfId="0" applyNumberFormat="1" applyFont="1" applyBorder="1" applyAlignment="1">
      <alignment horizontal="center" vertical="center"/>
    </xf>
    <xf numFmtId="0" fontId="175" fillId="0" borderId="0" xfId="0" applyFont="1"/>
    <xf numFmtId="2" fontId="175" fillId="51" borderId="8" xfId="0" applyNumberFormat="1" applyFont="1" applyFill="1" applyBorder="1" applyAlignment="1">
      <alignment horizontal="center" vertical="center"/>
    </xf>
    <xf numFmtId="0" fontId="175" fillId="51" borderId="8" xfId="0" applyFont="1" applyFill="1" applyBorder="1" applyAlignment="1">
      <alignment horizontal="left" vertical="center" wrapText="1"/>
    </xf>
    <xf numFmtId="2" fontId="175" fillId="51" borderId="8" xfId="0" applyNumberFormat="1" applyFont="1" applyFill="1" applyBorder="1" applyAlignment="1">
      <alignment horizontal="right" vertical="center"/>
    </xf>
    <xf numFmtId="0" fontId="174" fillId="41" borderId="8" xfId="0" applyFont="1" applyFill="1" applyBorder="1" applyAlignment="1">
      <alignment horizontal="center" vertical="top"/>
    </xf>
    <xf numFmtId="0" fontId="174" fillId="0" borderId="8" xfId="0" applyFont="1" applyBorder="1" applyAlignment="1">
      <alignment horizontal="left" vertical="center"/>
    </xf>
    <xf numFmtId="0" fontId="175" fillId="0" borderId="8" xfId="0" applyFont="1" applyBorder="1" applyAlignment="1">
      <alignment horizontal="left" vertical="center"/>
    </xf>
    <xf numFmtId="2" fontId="175" fillId="0" borderId="8" xfId="116" applyNumberFormat="1" applyFont="1" applyBorder="1" applyAlignment="1">
      <alignment horizontal="center" vertical="top"/>
    </xf>
    <xf numFmtId="2" fontId="175" fillId="0" borderId="8" xfId="116" applyNumberFormat="1" applyFont="1" applyBorder="1" applyAlignment="1">
      <alignment horizontal="left" vertical="center" wrapText="1"/>
    </xf>
    <xf numFmtId="0" fontId="175" fillId="0" borderId="8" xfId="0" applyFont="1" applyBorder="1" applyAlignment="1">
      <alignment horizontal="left" vertical="top"/>
    </xf>
    <xf numFmtId="0" fontId="175" fillId="0" borderId="8" xfId="0" applyFont="1" applyBorder="1" applyAlignment="1">
      <alignment vertical="center"/>
    </xf>
    <xf numFmtId="2" fontId="175" fillId="0" borderId="8" xfId="0" applyNumberFormat="1" applyFont="1" applyBorder="1" applyAlignment="1">
      <alignment horizontal="right" vertical="top"/>
    </xf>
    <xf numFmtId="0" fontId="175" fillId="0" borderId="0" xfId="0" applyFont="1" applyAlignment="1">
      <alignment vertical="center"/>
    </xf>
    <xf numFmtId="2" fontId="175" fillId="0" borderId="8" xfId="0" applyNumberFormat="1" applyFont="1" applyBorder="1" applyAlignment="1">
      <alignment horizontal="center" vertical="top"/>
    </xf>
    <xf numFmtId="2" fontId="174" fillId="0" borderId="8" xfId="116" applyNumberFormat="1" applyFont="1" applyBorder="1" applyAlignment="1">
      <alignment horizontal="right" vertical="center"/>
    </xf>
    <xf numFmtId="2" fontId="175" fillId="0" borderId="8" xfId="0" applyNumberFormat="1" applyFont="1" applyBorder="1" applyAlignment="1">
      <alignment horizontal="center"/>
    </xf>
    <xf numFmtId="2" fontId="177" fillId="0" borderId="8" xfId="0" applyNumberFormat="1" applyFont="1" applyBorder="1" applyAlignment="1">
      <alignment horizontal="right" vertical="center"/>
    </xf>
    <xf numFmtId="0" fontId="175" fillId="0" borderId="0" xfId="0" applyFont="1" applyAlignment="1">
      <alignment vertical="top"/>
    </xf>
    <xf numFmtId="0" fontId="174" fillId="0" borderId="0" xfId="0" applyFont="1" applyAlignment="1">
      <alignment horizontal="left" vertical="top"/>
    </xf>
    <xf numFmtId="167" fontId="174" fillId="0" borderId="0" xfId="0" applyNumberFormat="1" applyFont="1" applyAlignment="1">
      <alignment horizontal="center" vertical="top"/>
    </xf>
    <xf numFmtId="0" fontId="174" fillId="0" borderId="0" xfId="0" applyFont="1" applyAlignment="1">
      <alignment horizontal="center" vertical="top"/>
    </xf>
    <xf numFmtId="0" fontId="174" fillId="0" borderId="35" xfId="0" applyFont="1" applyBorder="1" applyAlignment="1">
      <alignment horizontal="left" vertical="top"/>
    </xf>
    <xf numFmtId="167" fontId="174" fillId="0" borderId="36" xfId="0" applyNumberFormat="1" applyFont="1" applyBorder="1" applyAlignment="1">
      <alignment horizontal="center" vertical="top"/>
    </xf>
    <xf numFmtId="2" fontId="178" fillId="0" borderId="8" xfId="0" applyNumberFormat="1" applyFont="1" applyBorder="1" applyAlignment="1">
      <alignment horizontal="center" vertical="top"/>
    </xf>
    <xf numFmtId="0" fontId="174" fillId="0" borderId="8" xfId="0" applyFont="1" applyBorder="1" applyAlignment="1">
      <alignment horizontal="justify" vertical="top" wrapText="1"/>
    </xf>
    <xf numFmtId="0" fontId="174" fillId="0" borderId="8" xfId="0" applyFont="1" applyBorder="1" applyAlignment="1">
      <alignment horizontal="center" vertical="top" wrapText="1"/>
    </xf>
    <xf numFmtId="0" fontId="174" fillId="0" borderId="8" xfId="117" applyFont="1" applyBorder="1" applyAlignment="1">
      <alignment horizontal="center" vertical="top" wrapText="1"/>
    </xf>
    <xf numFmtId="167" fontId="174" fillId="0" borderId="8" xfId="117" applyNumberFormat="1" applyFont="1" applyBorder="1" applyAlignment="1">
      <alignment horizontal="center" vertical="top" wrapText="1"/>
    </xf>
    <xf numFmtId="1" fontId="174" fillId="0" borderId="8" xfId="117" applyNumberFormat="1" applyFont="1" applyBorder="1" applyAlignment="1">
      <alignment horizontal="center" vertical="top" wrapText="1"/>
    </xf>
    <xf numFmtId="2" fontId="174" fillId="0" borderId="8" xfId="117" applyNumberFormat="1" applyFont="1" applyBorder="1" applyAlignment="1">
      <alignment horizontal="center" vertical="top" wrapText="1"/>
    </xf>
    <xf numFmtId="0" fontId="175" fillId="0" borderId="8" xfId="115" applyFont="1" applyBorder="1" applyAlignment="1">
      <alignment horizontal="center" vertical="top" shrinkToFit="1"/>
    </xf>
    <xf numFmtId="2" fontId="175" fillId="0" borderId="8" xfId="115" applyNumberFormat="1" applyFont="1" applyBorder="1" applyAlignment="1">
      <alignment horizontal="center" vertical="top" shrinkToFit="1"/>
    </xf>
    <xf numFmtId="167" fontId="175" fillId="0" borderId="8" xfId="0" applyNumberFormat="1" applyFont="1" applyBorder="1" applyAlignment="1">
      <alignment horizontal="center" vertical="top"/>
    </xf>
    <xf numFmtId="0" fontId="175" fillId="0" borderId="8" xfId="0" applyFont="1" applyBorder="1" applyAlignment="1">
      <alignment horizontal="center" vertical="top"/>
    </xf>
    <xf numFmtId="0" fontId="175" fillId="0" borderId="8" xfId="0" applyFont="1" applyBorder="1" applyAlignment="1">
      <alignment horizontal="justify" vertical="top" wrapText="1"/>
    </xf>
    <xf numFmtId="0" fontId="175" fillId="0" borderId="8" xfId="0" applyFont="1" applyBorder="1" applyAlignment="1">
      <alignment horizontal="center" vertical="top" wrapText="1"/>
    </xf>
    <xf numFmtId="1" fontId="175" fillId="0" borderId="8" xfId="0" applyNumberFormat="1" applyFont="1" applyBorder="1" applyAlignment="1">
      <alignment horizontal="center" vertical="top" wrapText="1"/>
    </xf>
    <xf numFmtId="2" fontId="175" fillId="0" borderId="8" xfId="0" applyNumberFormat="1" applyFont="1" applyBorder="1" applyAlignment="1">
      <alignment horizontal="right" vertical="top" wrapText="1"/>
    </xf>
    <xf numFmtId="0" fontId="175" fillId="0" borderId="0" xfId="115" applyFont="1" applyAlignment="1">
      <alignment horizontal="center" vertical="top" shrinkToFit="1"/>
    </xf>
    <xf numFmtId="1" fontId="175" fillId="0" borderId="8" xfId="0" applyNumberFormat="1" applyFont="1" applyBorder="1" applyAlignment="1">
      <alignment horizontal="center" vertical="top"/>
    </xf>
    <xf numFmtId="2" fontId="175" fillId="0" borderId="0" xfId="0" applyNumberFormat="1" applyFont="1" applyAlignment="1">
      <alignment vertical="top"/>
    </xf>
    <xf numFmtId="1" fontId="174" fillId="0" borderId="8" xfId="0" applyNumberFormat="1" applyFont="1" applyBorder="1" applyAlignment="1">
      <alignment horizontal="center" vertical="top"/>
    </xf>
    <xf numFmtId="0" fontId="174" fillId="0" borderId="0" xfId="0" applyFont="1" applyAlignment="1">
      <alignment vertical="top"/>
    </xf>
    <xf numFmtId="2" fontId="130" fillId="0" borderId="0" xfId="0" applyNumberFormat="1" applyFont="1" applyAlignment="1">
      <alignment vertical="top"/>
    </xf>
    <xf numFmtId="2" fontId="175" fillId="0" borderId="8" xfId="0" applyNumberFormat="1" applyFont="1" applyBorder="1" applyAlignment="1">
      <alignment vertical="top"/>
    </xf>
    <xf numFmtId="167" fontId="174" fillId="0" borderId="8" xfId="0" applyNumberFormat="1" applyFont="1" applyBorder="1" applyAlignment="1">
      <alignment horizontal="center" vertical="top"/>
    </xf>
    <xf numFmtId="0" fontId="174" fillId="0" borderId="8" xfId="0" applyFont="1" applyBorder="1" applyAlignment="1">
      <alignment vertical="top"/>
    </xf>
    <xf numFmtId="2" fontId="174" fillId="0" borderId="8" xfId="0" applyNumberFormat="1" applyFont="1" applyBorder="1" applyAlignment="1">
      <alignment horizontal="center" vertical="top"/>
    </xf>
    <xf numFmtId="2" fontId="174" fillId="0" borderId="8" xfId="0" applyNumberFormat="1" applyFont="1" applyBorder="1" applyAlignment="1">
      <alignment vertical="top"/>
    </xf>
    <xf numFmtId="2" fontId="174" fillId="0" borderId="8" xfId="0" applyNumberFormat="1" applyFont="1" applyBorder="1" applyAlignment="1">
      <alignment horizontal="right" vertical="top" wrapText="1"/>
    </xf>
    <xf numFmtId="2" fontId="179" fillId="0" borderId="52" xfId="0" applyNumberFormat="1" applyFont="1" applyBorder="1" applyAlignment="1">
      <alignment vertical="top"/>
    </xf>
    <xf numFmtId="0" fontId="179" fillId="0" borderId="53" xfId="0" applyFont="1" applyBorder="1" applyAlignment="1">
      <alignment horizontal="center" vertical="top"/>
    </xf>
    <xf numFmtId="2" fontId="179" fillId="43" borderId="53" xfId="0" applyNumberFormat="1" applyFont="1" applyFill="1" applyBorder="1" applyAlignment="1">
      <alignment horizontal="center" vertical="top"/>
    </xf>
    <xf numFmtId="0" fontId="180" fillId="0" borderId="8" xfId="0" applyFont="1" applyBorder="1" applyAlignment="1">
      <alignment horizontal="justify" vertical="top" wrapText="1"/>
    </xf>
    <xf numFmtId="2" fontId="179" fillId="0" borderId="8" xfId="0" applyNumberFormat="1" applyFont="1" applyBorder="1" applyAlignment="1">
      <alignment vertical="top"/>
    </xf>
    <xf numFmtId="2" fontId="179" fillId="43" borderId="8" xfId="0" applyNumberFormat="1" applyFont="1" applyFill="1" applyBorder="1" applyAlignment="1">
      <alignment vertical="top"/>
    </xf>
    <xf numFmtId="0" fontId="175" fillId="0" borderId="0" xfId="0" applyFont="1" applyAlignment="1">
      <alignment horizontal="center" vertical="top"/>
    </xf>
    <xf numFmtId="167" fontId="175" fillId="0" borderId="0" xfId="0" applyNumberFormat="1" applyFont="1" applyAlignment="1">
      <alignment horizontal="center" vertical="top"/>
    </xf>
    <xf numFmtId="0" fontId="180" fillId="0" borderId="0" xfId="0" applyFont="1" applyAlignment="1">
      <alignment horizontal="justify" vertical="top" wrapText="1"/>
    </xf>
    <xf numFmtId="0" fontId="175" fillId="0" borderId="0" xfId="0" applyFont="1" applyAlignment="1">
      <alignment horizontal="center" vertical="top" wrapText="1"/>
    </xf>
    <xf numFmtId="2" fontId="175" fillId="0" borderId="0" xfId="0" applyNumberFormat="1" applyFont="1" applyAlignment="1">
      <alignment horizontal="center" vertical="top" wrapText="1"/>
    </xf>
    <xf numFmtId="0" fontId="175" fillId="0" borderId="0" xfId="0" applyFont="1" applyAlignment="1">
      <alignment horizontal="justify" vertical="top" wrapText="1"/>
    </xf>
    <xf numFmtId="0" fontId="175" fillId="0" borderId="0" xfId="119" applyFont="1" applyAlignment="1">
      <alignment vertical="top"/>
    </xf>
    <xf numFmtId="0" fontId="175" fillId="0" borderId="0" xfId="0" applyFont="1" applyAlignment="1">
      <alignment vertical="top" wrapText="1"/>
    </xf>
    <xf numFmtId="1" fontId="175" fillId="0" borderId="0" xfId="0" applyNumberFormat="1" applyFont="1" applyAlignment="1">
      <alignment horizontal="center" vertical="top"/>
    </xf>
    <xf numFmtId="2" fontId="102" fillId="0" borderId="8" xfId="0" applyNumberFormat="1" applyFont="1" applyFill="1" applyBorder="1" applyAlignment="1">
      <alignment horizontal="center" vertical="center" wrapText="1"/>
    </xf>
    <xf numFmtId="169" fontId="102" fillId="0" borderId="8" xfId="0" applyNumberFormat="1" applyFont="1" applyFill="1" applyBorder="1" applyAlignment="1">
      <alignment horizontal="left" vertical="top" wrapText="1"/>
    </xf>
    <xf numFmtId="0" fontId="116" fillId="0" borderId="0" xfId="105" applyFont="1" applyFill="1" applyAlignment="1">
      <alignment horizontal="center"/>
    </xf>
    <xf numFmtId="0" fontId="117" fillId="0" borderId="0" xfId="105" applyFont="1" applyFill="1" applyAlignment="1">
      <alignment horizontal="center" wrapText="1"/>
    </xf>
    <xf numFmtId="0" fontId="102" fillId="0" borderId="0" xfId="105" applyFont="1" applyFill="1" applyAlignment="1">
      <alignment horizontal="center" wrapText="1"/>
    </xf>
    <xf numFmtId="0" fontId="101" fillId="0" borderId="0" xfId="105" applyFont="1" applyFill="1" applyAlignment="1">
      <alignment horizontal="center" wrapText="1"/>
    </xf>
    <xf numFmtId="0" fontId="118" fillId="0" borderId="0" xfId="105" applyFont="1" applyFill="1" applyAlignment="1">
      <alignment horizontal="center"/>
    </xf>
    <xf numFmtId="0" fontId="102" fillId="0" borderId="0" xfId="105" applyFont="1" applyFill="1" applyAlignment="1">
      <alignment horizontal="center"/>
    </xf>
    <xf numFmtId="0" fontId="101" fillId="0" borderId="0" xfId="105" applyFont="1" applyFill="1" applyAlignment="1">
      <alignment horizontal="center"/>
    </xf>
    <xf numFmtId="0" fontId="44" fillId="0" borderId="0" xfId="105" applyFont="1" applyFill="1" applyAlignment="1">
      <alignment horizontal="center"/>
    </xf>
    <xf numFmtId="0" fontId="44" fillId="0" borderId="0" xfId="105" applyFont="1" applyFill="1" applyAlignment="1">
      <alignment horizontal="left"/>
    </xf>
    <xf numFmtId="0" fontId="102" fillId="0" borderId="0" xfId="105" applyFont="1" applyFill="1" applyBorder="1" applyAlignment="1">
      <alignment horizontal="center"/>
    </xf>
    <xf numFmtId="0" fontId="112" fillId="0" borderId="0" xfId="110" applyFont="1" applyFill="1"/>
    <xf numFmtId="0" fontId="30" fillId="0" borderId="8" xfId="105" applyFont="1" applyFill="1" applyBorder="1" applyAlignment="1">
      <alignment horizontal="left" vertical="center" wrapText="1"/>
    </xf>
    <xf numFmtId="2" fontId="171" fillId="0" borderId="8" xfId="0" applyNumberFormat="1" applyFont="1" applyFill="1" applyBorder="1" applyAlignment="1" applyProtection="1">
      <alignment horizontal="right" vertical="center" wrapText="1"/>
      <protection locked="0"/>
    </xf>
    <xf numFmtId="0" fontId="129" fillId="0" borderId="8" xfId="105" applyFont="1" applyFill="1" applyBorder="1" applyAlignment="1">
      <alignment horizontal="center" vertical="center"/>
    </xf>
    <xf numFmtId="0" fontId="130" fillId="0" borderId="0" xfId="110" applyFont="1" applyFill="1"/>
    <xf numFmtId="167" fontId="130" fillId="0" borderId="0" xfId="110" applyNumberFormat="1" applyFont="1" applyFill="1"/>
    <xf numFmtId="2" fontId="130" fillId="0" borderId="0" xfId="110" applyNumberFormat="1" applyFont="1" applyFill="1"/>
    <xf numFmtId="10" fontId="130" fillId="0" borderId="0" xfId="110" applyNumberFormat="1" applyFont="1" applyFill="1"/>
    <xf numFmtId="0" fontId="75" fillId="0" borderId="8" xfId="110" applyFont="1" applyFill="1" applyBorder="1" applyAlignment="1">
      <alignment horizontal="center" vertical="center"/>
    </xf>
    <xf numFmtId="0" fontId="15" fillId="0" borderId="8" xfId="105" applyFont="1" applyFill="1" applyBorder="1" applyAlignment="1">
      <alignment horizontal="left" vertical="top" wrapText="1"/>
    </xf>
    <xf numFmtId="2" fontId="15" fillId="0" borderId="8" xfId="105" quotePrefix="1" applyNumberFormat="1" applyFont="1" applyFill="1" applyBorder="1" applyAlignment="1">
      <alignment horizontal="center" vertical="center"/>
    </xf>
    <xf numFmtId="0" fontId="15" fillId="0" borderId="8" xfId="105" quotePrefix="1" applyFont="1" applyFill="1" applyBorder="1" applyAlignment="1">
      <alignment horizontal="center" vertical="center"/>
    </xf>
    <xf numFmtId="0" fontId="15" fillId="0" borderId="8" xfId="105" applyFont="1" applyFill="1" applyBorder="1" applyAlignment="1">
      <alignment horizontal="left" wrapText="1"/>
    </xf>
    <xf numFmtId="0" fontId="2" fillId="0" borderId="0" xfId="110" applyFont="1" applyFill="1"/>
    <xf numFmtId="2" fontId="2" fillId="0" borderId="0" xfId="110" applyNumberFormat="1" applyFont="1" applyFill="1"/>
    <xf numFmtId="0" fontId="171" fillId="0" borderId="8" xfId="0" applyFont="1" applyFill="1" applyBorder="1" applyAlignment="1">
      <alignment horizontal="center" vertical="center"/>
    </xf>
    <xf numFmtId="0" fontId="172" fillId="0" borderId="8" xfId="0" applyFont="1" applyFill="1" applyBorder="1"/>
    <xf numFmtId="0" fontId="173" fillId="0" borderId="8" xfId="0" applyFont="1" applyFill="1" applyBorder="1"/>
    <xf numFmtId="2" fontId="171" fillId="0" borderId="8" xfId="0" applyNumberFormat="1" applyFont="1" applyFill="1" applyBorder="1" applyAlignment="1">
      <alignment horizontal="center"/>
    </xf>
    <xf numFmtId="0" fontId="173" fillId="0" borderId="8" xfId="0" applyFont="1" applyFill="1" applyBorder="1" applyAlignment="1">
      <alignment horizontal="center"/>
    </xf>
    <xf numFmtId="0" fontId="171" fillId="0" borderId="8" xfId="0" applyFont="1" applyFill="1" applyBorder="1" applyAlignment="1">
      <alignment horizontal="center"/>
    </xf>
    <xf numFmtId="2" fontId="171" fillId="0" borderId="8" xfId="0" applyNumberFormat="1" applyFont="1" applyFill="1" applyBorder="1" applyAlignment="1">
      <alignment horizontal="center" vertical="center" wrapText="1"/>
    </xf>
    <xf numFmtId="0" fontId="171" fillId="0" borderId="8" xfId="0" applyFont="1" applyFill="1" applyBorder="1"/>
    <xf numFmtId="0" fontId="171" fillId="0" borderId="0" xfId="0" applyFont="1" applyFill="1"/>
    <xf numFmtId="0" fontId="171" fillId="0" borderId="8" xfId="0" applyFont="1" applyFill="1" applyBorder="1" applyAlignment="1">
      <alignment vertical="center"/>
    </xf>
    <xf numFmtId="0" fontId="173" fillId="0" borderId="8" xfId="0" applyFont="1" applyFill="1" applyBorder="1" applyAlignment="1">
      <alignment vertical="center"/>
    </xf>
    <xf numFmtId="0" fontId="171" fillId="0" borderId="0" xfId="0" applyFont="1" applyFill="1" applyAlignment="1">
      <alignment vertical="center"/>
    </xf>
    <xf numFmtId="0" fontId="171" fillId="0" borderId="8" xfId="0" applyFont="1" applyFill="1" applyBorder="1" applyAlignment="1">
      <alignment horizontal="center" vertical="center" wrapText="1"/>
    </xf>
    <xf numFmtId="9" fontId="173" fillId="0" borderId="8" xfId="0" applyNumberFormat="1" applyFont="1" applyFill="1" applyBorder="1" applyAlignment="1" applyProtection="1">
      <alignment horizontal="center" vertical="center" wrapText="1"/>
      <protection locked="0"/>
    </xf>
    <xf numFmtId="0" fontId="173" fillId="0" borderId="8" xfId="0" applyFont="1" applyFill="1" applyBorder="1" applyAlignment="1" applyProtection="1">
      <alignment horizontal="center" vertical="center" wrapText="1"/>
      <protection locked="0"/>
    </xf>
    <xf numFmtId="0" fontId="173" fillId="0" borderId="8" xfId="0" applyFont="1" applyFill="1" applyBorder="1" applyProtection="1">
      <protection locked="0"/>
    </xf>
    <xf numFmtId="0" fontId="171" fillId="0" borderId="8" xfId="0" applyFont="1" applyFill="1" applyBorder="1" applyProtection="1">
      <protection locked="0"/>
    </xf>
    <xf numFmtId="0" fontId="171" fillId="0" borderId="0" xfId="0" applyFont="1" applyFill="1" applyProtection="1">
      <protection locked="0"/>
    </xf>
    <xf numFmtId="0" fontId="15" fillId="0" borderId="0" xfId="105" applyFont="1" applyFill="1" applyBorder="1" applyAlignment="1">
      <alignment horizontal="left" wrapText="1"/>
    </xf>
    <xf numFmtId="0" fontId="15" fillId="0" borderId="0" xfId="105" applyFont="1" applyFill="1" applyBorder="1" applyAlignment="1">
      <alignment horizontal="center" vertical="center" wrapText="1"/>
    </xf>
    <xf numFmtId="0" fontId="120" fillId="0" borderId="0" xfId="110" applyFont="1" applyFill="1"/>
    <xf numFmtId="2" fontId="126" fillId="0" borderId="0" xfId="110" applyNumberFormat="1" applyFont="1" applyFill="1"/>
    <xf numFmtId="9" fontId="120" fillId="0" borderId="0" xfId="111" applyFont="1" applyFill="1"/>
    <xf numFmtId="0" fontId="126" fillId="0" borderId="0" xfId="110" applyFont="1" applyFill="1"/>
    <xf numFmtId="177" fontId="120" fillId="0" borderId="0" xfId="111" applyNumberFormat="1" applyFont="1" applyFill="1"/>
    <xf numFmtId="177" fontId="5" fillId="0" borderId="0" xfId="110" applyNumberFormat="1" applyFill="1"/>
    <xf numFmtId="2" fontId="120" fillId="0" borderId="0" xfId="110" applyNumberFormat="1" applyFont="1" applyFill="1"/>
    <xf numFmtId="0" fontId="120" fillId="0" borderId="0" xfId="110" applyFont="1" applyFill="1" applyAlignment="1">
      <alignment wrapText="1"/>
    </xf>
    <xf numFmtId="0" fontId="127" fillId="0" borderId="0" xfId="110" applyFont="1" applyFill="1"/>
    <xf numFmtId="0" fontId="131" fillId="0" borderId="0" xfId="110" applyFont="1" applyFill="1" applyAlignment="1">
      <alignment wrapText="1"/>
    </xf>
    <xf numFmtId="0" fontId="4" fillId="0" borderId="0" xfId="110" applyFont="1" applyFill="1"/>
    <xf numFmtId="0" fontId="1" fillId="0" borderId="0" xfId="110" applyFont="1" applyFill="1"/>
    <xf numFmtId="2" fontId="1" fillId="0" borderId="0" xfId="110" applyNumberFormat="1" applyFont="1" applyFill="1"/>
    <xf numFmtId="2" fontId="112" fillId="0" borderId="8" xfId="110" applyNumberFormat="1" applyFont="1" applyFill="1" applyBorder="1" applyAlignment="1">
      <alignment horizontal="center" vertical="center"/>
    </xf>
    <xf numFmtId="0" fontId="181" fillId="0" borderId="8" xfId="105" applyFont="1" applyFill="1" applyBorder="1" applyAlignment="1">
      <alignment horizontal="left" vertical="center"/>
    </xf>
    <xf numFmtId="0" fontId="181" fillId="0" borderId="8" xfId="105" applyFont="1" applyFill="1" applyBorder="1" applyAlignment="1">
      <alignment horizontal="center" vertical="center"/>
    </xf>
    <xf numFmtId="0" fontId="181" fillId="0" borderId="8" xfId="105" applyFont="1" applyFill="1" applyBorder="1" applyAlignment="1">
      <alignment horizontal="center" vertical="center" wrapText="1"/>
    </xf>
    <xf numFmtId="2" fontId="181" fillId="0" borderId="8" xfId="105" applyNumberFormat="1" applyFont="1" applyFill="1" applyBorder="1" applyAlignment="1">
      <alignment horizontal="center" vertical="center"/>
    </xf>
    <xf numFmtId="0" fontId="181" fillId="0" borderId="8" xfId="105" applyFont="1" applyFill="1" applyBorder="1" applyAlignment="1">
      <alignment horizontal="left" vertical="center" wrapText="1"/>
    </xf>
    <xf numFmtId="0" fontId="86" fillId="52" borderId="8" xfId="0" applyFont="1" applyFill="1" applyBorder="1" applyAlignment="1">
      <alignment horizontal="center" vertical="top" wrapText="1"/>
    </xf>
    <xf numFmtId="0" fontId="102" fillId="52" borderId="8" xfId="0" applyFont="1" applyFill="1" applyBorder="1" applyAlignment="1">
      <alignment horizontal="center" vertical="top" wrapText="1"/>
    </xf>
    <xf numFmtId="0" fontId="102" fillId="52" borderId="8" xfId="0" applyFont="1" applyFill="1" applyBorder="1" applyAlignment="1">
      <alignment horizontal="left" vertical="top" wrapText="1"/>
    </xf>
    <xf numFmtId="2" fontId="101" fillId="52" borderId="8" xfId="0" applyNumberFormat="1" applyFont="1" applyFill="1" applyBorder="1" applyAlignment="1">
      <alignment horizontal="center" vertical="top" shrinkToFit="1"/>
    </xf>
    <xf numFmtId="2" fontId="101" fillId="52" borderId="8" xfId="0" applyNumberFormat="1" applyFont="1" applyFill="1" applyBorder="1" applyAlignment="1">
      <alignment horizontal="center" vertical="top" wrapText="1"/>
    </xf>
    <xf numFmtId="0" fontId="101" fillId="52" borderId="0" xfId="0" applyFont="1" applyFill="1" applyBorder="1"/>
    <xf numFmtId="0" fontId="140" fillId="52" borderId="0" xfId="0" applyFont="1" applyFill="1" applyBorder="1"/>
    <xf numFmtId="0" fontId="140" fillId="52" borderId="8" xfId="0" applyFont="1" applyFill="1" applyBorder="1" applyAlignment="1">
      <alignment horizontal="left" vertical="top" wrapText="1"/>
    </xf>
    <xf numFmtId="2" fontId="140" fillId="52" borderId="8" xfId="0" applyNumberFormat="1" applyFont="1" applyFill="1" applyBorder="1" applyAlignment="1">
      <alignment horizontal="center" vertical="top" shrinkToFit="1"/>
    </xf>
    <xf numFmtId="2" fontId="140" fillId="52" borderId="8" xfId="0" applyNumberFormat="1" applyFont="1" applyFill="1" applyBorder="1" applyAlignment="1">
      <alignment horizontal="center" vertical="top" wrapText="1"/>
    </xf>
    <xf numFmtId="0" fontId="101" fillId="52" borderId="8" xfId="0" applyFont="1" applyFill="1" applyBorder="1" applyAlignment="1">
      <alignment horizontal="center" vertical="top" wrapText="1"/>
    </xf>
    <xf numFmtId="0" fontId="101" fillId="52" borderId="8" xfId="0" applyFont="1" applyFill="1" applyBorder="1" applyAlignment="1">
      <alignment horizontal="left" vertical="top" wrapText="1"/>
    </xf>
    <xf numFmtId="2" fontId="122" fillId="52" borderId="8" xfId="0" applyNumberFormat="1" applyFont="1" applyFill="1" applyBorder="1" applyAlignment="1">
      <alignment horizontal="center" vertical="top" wrapText="1"/>
    </xf>
    <xf numFmtId="2" fontId="122" fillId="52" borderId="8" xfId="0" applyNumberFormat="1" applyFont="1" applyFill="1" applyBorder="1" applyAlignment="1">
      <alignment horizontal="center" vertical="top" shrinkToFit="1"/>
    </xf>
    <xf numFmtId="170" fontId="102" fillId="52" borderId="8" xfId="0" applyNumberFormat="1" applyFont="1" applyFill="1" applyBorder="1" applyAlignment="1">
      <alignment horizontal="center" vertical="top" wrapText="1"/>
    </xf>
    <xf numFmtId="170" fontId="101" fillId="52" borderId="0" xfId="0" applyNumberFormat="1" applyFont="1" applyFill="1" applyBorder="1" applyAlignment="1">
      <alignment horizontal="center" vertical="center" wrapText="1"/>
    </xf>
    <xf numFmtId="170" fontId="101" fillId="52" borderId="8" xfId="0" applyNumberFormat="1" applyFont="1" applyFill="1" applyBorder="1" applyAlignment="1">
      <alignment horizontal="center" vertical="top" wrapText="1"/>
    </xf>
    <xf numFmtId="2" fontId="102" fillId="52" borderId="8" xfId="0" applyNumberFormat="1" applyFont="1" applyFill="1" applyBorder="1" applyAlignment="1">
      <alignment horizontal="center" vertical="top" shrinkToFit="1"/>
    </xf>
    <xf numFmtId="2" fontId="132" fillId="52" borderId="8" xfId="0" applyNumberFormat="1" applyFont="1" applyFill="1" applyBorder="1" applyAlignment="1">
      <alignment horizontal="center" vertical="top" wrapText="1"/>
    </xf>
    <xf numFmtId="0" fontId="102" fillId="52" borderId="0" xfId="0" applyFont="1" applyFill="1" applyBorder="1"/>
    <xf numFmtId="175" fontId="175" fillId="0" borderId="8" xfId="0" applyNumberFormat="1" applyFont="1" applyBorder="1" applyAlignment="1">
      <alignment horizontal="center" vertical="center"/>
    </xf>
    <xf numFmtId="2" fontId="101" fillId="0" borderId="8" xfId="0" applyNumberFormat="1" applyFont="1" applyFill="1" applyBorder="1" applyAlignment="1">
      <alignment horizontal="left" vertical="top" wrapText="1"/>
    </xf>
    <xf numFmtId="2" fontId="79" fillId="0" borderId="8" xfId="90" applyNumberFormat="1" applyFont="1" applyBorder="1" applyAlignment="1">
      <alignment horizontal="center" vertical="top" wrapText="1"/>
    </xf>
    <xf numFmtId="2" fontId="122" fillId="0" borderId="0" xfId="0" applyNumberFormat="1" applyFont="1" applyFill="1" applyBorder="1"/>
    <xf numFmtId="2" fontId="101" fillId="0" borderId="0" xfId="0" applyNumberFormat="1" applyFont="1" applyFill="1" applyBorder="1"/>
    <xf numFmtId="2" fontId="101" fillId="0" borderId="0" xfId="0" applyNumberFormat="1" applyFont="1" applyFill="1" applyBorder="1" applyAlignment="1">
      <alignment horizontal="center" vertical="top" wrapText="1"/>
    </xf>
    <xf numFmtId="175" fontId="101" fillId="52" borderId="8" xfId="0" applyNumberFormat="1" applyFont="1" applyFill="1" applyBorder="1" applyAlignment="1">
      <alignment horizontal="center" vertical="top" wrapText="1"/>
    </xf>
    <xf numFmtId="2" fontId="122" fillId="53" borderId="8" xfId="0" applyNumberFormat="1" applyFont="1" applyFill="1" applyBorder="1" applyAlignment="1">
      <alignment horizontal="center" vertical="top" shrinkToFit="1"/>
    </xf>
    <xf numFmtId="2" fontId="101" fillId="53" borderId="8" xfId="0" applyNumberFormat="1" applyFont="1" applyFill="1" applyBorder="1" applyAlignment="1">
      <alignment horizontal="center" vertical="top" wrapText="1"/>
    </xf>
    <xf numFmtId="2" fontId="122" fillId="53" borderId="8" xfId="0" applyNumberFormat="1" applyFont="1" applyFill="1" applyBorder="1" applyAlignment="1">
      <alignment horizontal="center" vertical="top" wrapText="1"/>
    </xf>
    <xf numFmtId="0" fontId="101" fillId="53" borderId="8" xfId="0" applyFont="1" applyFill="1" applyBorder="1" applyAlignment="1">
      <alignment horizontal="center" vertical="center" wrapText="1"/>
    </xf>
    <xf numFmtId="0" fontId="102" fillId="53" borderId="8" xfId="0" applyFont="1" applyFill="1" applyBorder="1" applyAlignment="1">
      <alignment horizontal="center" vertical="top" wrapText="1"/>
    </xf>
    <xf numFmtId="169" fontId="101" fillId="53" borderId="8" xfId="0" applyNumberFormat="1" applyFont="1" applyFill="1" applyBorder="1" applyAlignment="1">
      <alignment horizontal="left" vertical="top" wrapText="1"/>
    </xf>
    <xf numFmtId="169" fontId="101" fillId="53" borderId="8" xfId="0" applyNumberFormat="1" applyFont="1" applyFill="1" applyBorder="1" applyAlignment="1">
      <alignment horizontal="center" vertical="top" wrapText="1"/>
    </xf>
    <xf numFmtId="175" fontId="101" fillId="53" borderId="8" xfId="0" applyNumberFormat="1" applyFont="1" applyFill="1" applyBorder="1" applyAlignment="1">
      <alignment horizontal="center" vertical="top" wrapText="1"/>
    </xf>
    <xf numFmtId="0" fontId="101" fillId="53" borderId="0" xfId="0" applyFont="1" applyFill="1" applyBorder="1"/>
    <xf numFmtId="0" fontId="10" fillId="0" borderId="33" xfId="66" applyFont="1" applyBorder="1" applyAlignment="1">
      <alignment horizontal="center" vertical="center"/>
    </xf>
    <xf numFmtId="0" fontId="10" fillId="0" borderId="31" xfId="66" applyFont="1" applyBorder="1" applyAlignment="1">
      <alignment horizontal="center" vertical="center"/>
    </xf>
    <xf numFmtId="0" fontId="10" fillId="0" borderId="22" xfId="66" applyFont="1" applyBorder="1" applyAlignment="1">
      <alignment horizontal="center" vertical="center"/>
    </xf>
    <xf numFmtId="2" fontId="10" fillId="0" borderId="31" xfId="66" applyNumberFormat="1" applyFont="1" applyBorder="1" applyAlignment="1">
      <alignment vertical="top"/>
    </xf>
    <xf numFmtId="2" fontId="10" fillId="0" borderId="22" xfId="66" applyNumberFormat="1" applyFont="1" applyBorder="1" applyAlignment="1">
      <alignment vertical="top"/>
    </xf>
    <xf numFmtId="0" fontId="7" fillId="0" borderId="33" xfId="66" applyFont="1" applyBorder="1" applyAlignment="1">
      <alignment vertical="top" wrapText="1"/>
    </xf>
    <xf numFmtId="0" fontId="7" fillId="0" borderId="32" xfId="66" applyFont="1" applyBorder="1" applyAlignment="1">
      <alignment vertical="top" wrapText="1"/>
    </xf>
    <xf numFmtId="0" fontId="7" fillId="0" borderId="31" xfId="66" applyFont="1" applyBorder="1" applyAlignment="1">
      <alignment vertical="top" wrapText="1"/>
    </xf>
    <xf numFmtId="0" fontId="10" fillId="0" borderId="33" xfId="66" applyFont="1" applyBorder="1" applyAlignment="1">
      <alignment vertical="center" wrapText="1"/>
    </xf>
    <xf numFmtId="0" fontId="10" fillId="0" borderId="32" xfId="66" applyFont="1" applyBorder="1" applyAlignment="1">
      <alignment vertical="center" wrapText="1"/>
    </xf>
    <xf numFmtId="0" fontId="10" fillId="0" borderId="32" xfId="66" applyFont="1" applyBorder="1" applyAlignment="1">
      <alignment horizontal="center" vertical="center"/>
    </xf>
    <xf numFmtId="0" fontId="16" fillId="32" borderId="33" xfId="80" applyNumberFormat="1" applyFont="1" applyFill="1" applyBorder="1" applyAlignment="1">
      <alignment horizontal="center" vertical="center" wrapText="1"/>
    </xf>
    <xf numFmtId="0" fontId="16" fillId="32" borderId="32" xfId="80" applyNumberFormat="1" applyFont="1" applyFill="1" applyBorder="1" applyAlignment="1">
      <alignment horizontal="center" vertical="center" wrapText="1"/>
    </xf>
    <xf numFmtId="0" fontId="16" fillId="32" borderId="31" xfId="80" applyNumberFormat="1" applyFont="1" applyFill="1" applyBorder="1" applyAlignment="1">
      <alignment horizontal="center" vertical="center" wrapText="1"/>
    </xf>
    <xf numFmtId="0" fontId="44" fillId="0" borderId="14" xfId="0" applyFont="1" applyBorder="1" applyAlignment="1">
      <alignment horizontal="center"/>
    </xf>
    <xf numFmtId="0" fontId="44" fillId="0" borderId="15" xfId="0" applyFont="1" applyBorder="1" applyAlignment="1">
      <alignment horizontal="center"/>
    </xf>
    <xf numFmtId="0" fontId="44" fillId="0" borderId="16" xfId="0" applyFont="1" applyBorder="1" applyAlignment="1">
      <alignment horizontal="center"/>
    </xf>
    <xf numFmtId="0" fontId="44" fillId="0" borderId="0" xfId="0" applyFont="1" applyBorder="1" applyAlignment="1">
      <alignment horizontal="center"/>
    </xf>
    <xf numFmtId="0" fontId="97" fillId="0" borderId="8" xfId="0" applyFont="1" applyBorder="1" applyAlignment="1">
      <alignment horizontal="left"/>
    </xf>
    <xf numFmtId="0" fontId="97" fillId="0" borderId="8" xfId="0" applyFont="1" applyBorder="1" applyAlignment="1">
      <alignment horizontal="left" wrapText="1"/>
    </xf>
    <xf numFmtId="2" fontId="97" fillId="0" borderId="8" xfId="0" applyNumberFormat="1" applyFont="1" applyBorder="1" applyAlignment="1">
      <alignment horizontal="center" vertical="center"/>
    </xf>
    <xf numFmtId="0" fontId="97" fillId="0" borderId="8" xfId="0" applyFont="1" applyBorder="1" applyAlignment="1">
      <alignment horizontal="center" vertical="center"/>
    </xf>
    <xf numFmtId="0" fontId="97" fillId="0" borderId="0" xfId="0" applyFont="1" applyBorder="1" applyAlignment="1">
      <alignment horizontal="left"/>
    </xf>
    <xf numFmtId="0" fontId="97" fillId="0" borderId="8" xfId="0" applyFont="1" applyBorder="1" applyAlignment="1">
      <alignment horizontal="right"/>
    </xf>
    <xf numFmtId="0" fontId="97" fillId="0" borderId="8" xfId="0" applyFont="1" applyBorder="1" applyAlignment="1">
      <alignment horizontal="center"/>
    </xf>
    <xf numFmtId="0" fontId="78" fillId="0" borderId="0" xfId="0" applyFont="1" applyBorder="1" applyAlignment="1">
      <alignment horizontal="center" vertical="top" wrapText="1"/>
    </xf>
    <xf numFmtId="0" fontId="78" fillId="0" borderId="0" xfId="0" applyFont="1" applyBorder="1" applyAlignment="1">
      <alignment horizontal="center" vertical="center" wrapText="1"/>
    </xf>
    <xf numFmtId="0" fontId="78" fillId="0" borderId="0" xfId="0" applyFont="1" applyBorder="1" applyAlignment="1">
      <alignment horizontal="center"/>
    </xf>
    <xf numFmtId="0" fontId="16" fillId="0" borderId="0" xfId="0" applyFont="1" applyBorder="1" applyAlignment="1">
      <alignment horizontal="center" vertical="center" wrapText="1"/>
    </xf>
    <xf numFmtId="0" fontId="43" fillId="0" borderId="0" xfId="0" applyFont="1" applyBorder="1" applyAlignment="1">
      <alignment horizontal="center"/>
    </xf>
    <xf numFmtId="0" fontId="45" fillId="0" borderId="0" xfId="0" applyFont="1" applyBorder="1" applyAlignment="1">
      <alignment horizontal="center"/>
    </xf>
    <xf numFmtId="0" fontId="76" fillId="0" borderId="0" xfId="0" applyFont="1" applyBorder="1" applyAlignment="1">
      <alignment horizontal="center" vertical="center" wrapText="1"/>
    </xf>
    <xf numFmtId="0" fontId="0" fillId="0" borderId="0" xfId="0" applyAlignment="1">
      <alignment wrapText="1"/>
    </xf>
    <xf numFmtId="0" fontId="78" fillId="0" borderId="19" xfId="0" applyFont="1" applyBorder="1" applyAlignment="1">
      <alignment horizontal="center" wrapText="1"/>
    </xf>
    <xf numFmtId="0" fontId="0" fillId="0" borderId="19" xfId="0" applyBorder="1" applyAlignment="1">
      <alignment wrapText="1"/>
    </xf>
    <xf numFmtId="0" fontId="146" fillId="0" borderId="0" xfId="114" applyFont="1" applyAlignment="1">
      <alignment horizontal="center" wrapText="1"/>
    </xf>
    <xf numFmtId="0" fontId="153" fillId="0" borderId="0" xfId="114" applyFont="1" applyAlignment="1">
      <alignment horizontal="center" vertical="top" wrapText="1"/>
    </xf>
    <xf numFmtId="0" fontId="154" fillId="0" borderId="0" xfId="114" applyFont="1" applyAlignment="1">
      <alignment horizontal="center" vertical="top" wrapText="1"/>
    </xf>
    <xf numFmtId="1" fontId="170" fillId="0" borderId="0" xfId="114" applyNumberFormat="1" applyFont="1" applyAlignment="1">
      <alignment horizontal="justify" vertical="top" wrapText="1"/>
    </xf>
    <xf numFmtId="0" fontId="170" fillId="0" borderId="0" xfId="114" applyFont="1" applyAlignment="1">
      <alignment horizontal="justify" vertical="top" wrapText="1"/>
    </xf>
    <xf numFmtId="0" fontId="105" fillId="0" borderId="0" xfId="114" applyFont="1" applyAlignment="1">
      <alignment horizontal="left"/>
    </xf>
    <xf numFmtId="2" fontId="105" fillId="0" borderId="0" xfId="114" applyNumberFormat="1" applyFont="1" applyAlignment="1">
      <alignment horizontal="center"/>
    </xf>
    <xf numFmtId="0" fontId="169" fillId="0" borderId="0" xfId="114" applyFont="1" applyAlignment="1">
      <alignment horizontal="left" vertical="center"/>
    </xf>
    <xf numFmtId="0" fontId="75" fillId="0" borderId="0" xfId="0" applyFont="1" applyAlignment="1">
      <alignment horizontal="left" vertical="top" wrapText="1"/>
    </xf>
    <xf numFmtId="0" fontId="0" fillId="0" borderId="0" xfId="0" applyFont="1" applyAlignment="1"/>
    <xf numFmtId="0" fontId="142" fillId="0" borderId="0" xfId="0" applyFont="1" applyAlignment="1">
      <alignment horizontal="left" vertical="top" wrapText="1"/>
    </xf>
    <xf numFmtId="0" fontId="75" fillId="0" borderId="0" xfId="0" applyFont="1" applyAlignment="1">
      <alignment horizontal="left" vertical="center" wrapText="1"/>
    </xf>
    <xf numFmtId="0" fontId="0" fillId="0" borderId="0" xfId="0" applyFont="1" applyAlignment="1">
      <alignment vertical="center"/>
    </xf>
    <xf numFmtId="0" fontId="142" fillId="0" borderId="0" xfId="0" applyFont="1" applyAlignment="1">
      <alignment horizontal="left"/>
    </xf>
    <xf numFmtId="167" fontId="75" fillId="0" borderId="0" xfId="0" applyNumberFormat="1" applyFont="1" applyAlignment="1">
      <alignment horizontal="left" vertical="center"/>
    </xf>
    <xf numFmtId="0" fontId="101" fillId="0" borderId="0" xfId="0" applyFont="1" applyAlignment="1">
      <alignment horizontal="left" vertical="top" wrapText="1"/>
    </xf>
    <xf numFmtId="0" fontId="142" fillId="0" borderId="0" xfId="0" applyFont="1" applyAlignment="1">
      <alignment horizontal="left" vertical="top"/>
    </xf>
    <xf numFmtId="0" fontId="144" fillId="0" borderId="0" xfId="0" applyFont="1" applyAlignment="1">
      <alignment horizontal="justify" vertical="top" wrapText="1"/>
    </xf>
    <xf numFmtId="0" fontId="0" fillId="0" borderId="0" xfId="0" applyFont="1" applyAlignment="1">
      <alignment horizontal="justify"/>
    </xf>
    <xf numFmtId="0" fontId="142" fillId="0" borderId="0" xfId="0" applyFont="1"/>
    <xf numFmtId="0" fontId="142" fillId="0" borderId="0" xfId="0" applyFont="1" applyAlignment="1">
      <alignment horizontal="right"/>
    </xf>
    <xf numFmtId="0" fontId="141" fillId="0" borderId="0" xfId="0" applyFont="1" applyAlignment="1">
      <alignment horizontal="center"/>
    </xf>
    <xf numFmtId="0" fontId="142" fillId="0" borderId="0" xfId="0" applyFont="1" applyAlignment="1">
      <alignment horizontal="left" vertical="center"/>
    </xf>
    <xf numFmtId="0" fontId="143" fillId="0" borderId="0" xfId="0" applyFont="1" applyAlignment="1">
      <alignment horizontal="left" vertical="center"/>
    </xf>
    <xf numFmtId="0" fontId="56" fillId="0" borderId="35" xfId="83" applyFont="1" applyBorder="1" applyAlignment="1">
      <alignment horizontal="center" vertical="center" wrapText="1"/>
    </xf>
    <xf numFmtId="0" fontId="56" fillId="0" borderId="4" xfId="83" applyFont="1" applyBorder="1" applyAlignment="1">
      <alignment horizontal="center" vertical="center" wrapText="1"/>
    </xf>
    <xf numFmtId="0" fontId="56" fillId="0" borderId="36" xfId="83" applyFont="1" applyBorder="1" applyAlignment="1">
      <alignment horizontal="center" vertical="center" wrapText="1"/>
    </xf>
    <xf numFmtId="0" fontId="57" fillId="0" borderId="35" xfId="78" applyFont="1" applyBorder="1" applyAlignment="1">
      <alignment horizontal="center" vertical="top"/>
    </xf>
    <xf numFmtId="0" fontId="57" fillId="0" borderId="4" xfId="78" applyFont="1" applyBorder="1" applyAlignment="1">
      <alignment horizontal="center" vertical="top"/>
    </xf>
    <xf numFmtId="0" fontId="57" fillId="0" borderId="36" xfId="78" applyFont="1" applyBorder="1" applyAlignment="1">
      <alignment horizontal="center" vertical="top"/>
    </xf>
    <xf numFmtId="0" fontId="55" fillId="0" borderId="35" xfId="83" applyFont="1" applyBorder="1" applyAlignment="1">
      <alignment horizontal="justify" vertical="top" wrapText="1"/>
    </xf>
    <xf numFmtId="0" fontId="55" fillId="0" borderId="4" xfId="83" applyFont="1" applyBorder="1" applyAlignment="1">
      <alignment horizontal="justify" vertical="top" wrapText="1"/>
    </xf>
    <xf numFmtId="0" fontId="55" fillId="0" borderId="36" xfId="83" applyFont="1" applyBorder="1" applyAlignment="1">
      <alignment horizontal="justify" vertical="top" wrapText="1"/>
    </xf>
    <xf numFmtId="0" fontId="101" fillId="0" borderId="8" xfId="0" applyNumberFormat="1" applyFont="1" applyFill="1" applyBorder="1" applyAlignment="1" applyProtection="1">
      <alignment horizontal="justify" vertical="top" wrapText="1"/>
    </xf>
    <xf numFmtId="0" fontId="101" fillId="0" borderId="8" xfId="0" applyFont="1" applyBorder="1" applyAlignment="1">
      <alignment horizontal="left" vertical="top" wrapText="1"/>
    </xf>
    <xf numFmtId="0" fontId="101" fillId="0" borderId="8" xfId="86" applyFont="1" applyBorder="1" applyAlignment="1">
      <alignment horizontal="justify" vertical="top" wrapText="1"/>
    </xf>
    <xf numFmtId="2" fontId="57" fillId="0" borderId="0" xfId="85" applyNumberFormat="1" applyFont="1" applyBorder="1" applyAlignment="1">
      <alignment horizontal="left" vertical="top" wrapText="1"/>
    </xf>
    <xf numFmtId="0" fontId="64" fillId="0" borderId="8" xfId="85" applyFont="1" applyBorder="1" applyAlignment="1">
      <alignment horizontal="center" vertical="top" wrapText="1"/>
    </xf>
    <xf numFmtId="0" fontId="7" fillId="0" borderId="0" xfId="0" applyFont="1" applyBorder="1" applyAlignment="1">
      <alignment horizontal="center"/>
    </xf>
    <xf numFmtId="0" fontId="0" fillId="0" borderId="0" xfId="0" applyBorder="1" applyAlignment="1">
      <alignment horizontal="center"/>
    </xf>
    <xf numFmtId="0" fontId="7" fillId="0" borderId="43" xfId="0" applyFont="1" applyBorder="1" applyAlignment="1">
      <alignment horizontal="center"/>
    </xf>
    <xf numFmtId="0" fontId="0" fillId="0" borderId="43" xfId="0" applyBorder="1" applyAlignment="1">
      <alignment horizontal="center"/>
    </xf>
    <xf numFmtId="0" fontId="0" fillId="49" borderId="42" xfId="0" applyFill="1" applyBorder="1" applyAlignment="1">
      <alignment horizontal="center"/>
    </xf>
    <xf numFmtId="0" fontId="0" fillId="49" borderId="44" xfId="0" applyFill="1" applyBorder="1" applyAlignment="1">
      <alignment horizontal="center"/>
    </xf>
    <xf numFmtId="0" fontId="146" fillId="0" borderId="42" xfId="0" applyFont="1" applyBorder="1" applyAlignment="1">
      <alignment horizontal="center" vertical="center"/>
    </xf>
    <xf numFmtId="0" fontId="146" fillId="0" borderId="43" xfId="0" applyFont="1" applyBorder="1" applyAlignment="1">
      <alignment horizontal="center" vertical="center"/>
    </xf>
    <xf numFmtId="0" fontId="146" fillId="0" borderId="44" xfId="0" applyFont="1" applyBorder="1" applyAlignment="1">
      <alignment horizontal="center" vertical="center"/>
    </xf>
    <xf numFmtId="0" fontId="146" fillId="0" borderId="45" xfId="0" applyFont="1" applyBorder="1" applyAlignment="1">
      <alignment horizontal="center" vertical="center"/>
    </xf>
    <xf numFmtId="0" fontId="146" fillId="0" borderId="0" xfId="0" applyFont="1" applyBorder="1" applyAlignment="1">
      <alignment horizontal="center" vertical="center"/>
    </xf>
    <xf numFmtId="0" fontId="146" fillId="0" borderId="46" xfId="0" applyFont="1" applyBorder="1" applyAlignment="1">
      <alignment horizontal="center" vertical="center"/>
    </xf>
    <xf numFmtId="0" fontId="0" fillId="48" borderId="50" xfId="0" applyFill="1" applyBorder="1" applyAlignment="1">
      <alignment horizontal="center"/>
    </xf>
    <xf numFmtId="0" fontId="0" fillId="48" borderId="51" xfId="0" applyFill="1" applyBorder="1" applyAlignment="1">
      <alignment horizontal="center"/>
    </xf>
    <xf numFmtId="0" fontId="0" fillId="48" borderId="47" xfId="0" applyFill="1" applyBorder="1" applyAlignment="1">
      <alignment horizontal="center"/>
    </xf>
    <xf numFmtId="0" fontId="0" fillId="48" borderId="3" xfId="0" applyFill="1" applyBorder="1" applyAlignment="1">
      <alignment horizontal="center"/>
    </xf>
    <xf numFmtId="0" fontId="10" fillId="0" borderId="45" xfId="0" applyFont="1" applyBorder="1" applyAlignment="1">
      <alignment horizontal="center" vertical="center"/>
    </xf>
    <xf numFmtId="0" fontId="10" fillId="0" borderId="0" xfId="0" applyFont="1" applyBorder="1" applyAlignment="1">
      <alignment horizontal="center" vertical="center"/>
    </xf>
    <xf numFmtId="0" fontId="10" fillId="0" borderId="0" xfId="0" applyFont="1" applyBorder="1" applyAlignment="1">
      <alignment horizontal="justify" vertical="center" wrapText="1"/>
    </xf>
    <xf numFmtId="0" fontId="9" fillId="0" borderId="0" xfId="0" applyFont="1" applyBorder="1" applyAlignment="1">
      <alignment horizontal="center" vertical="center"/>
    </xf>
    <xf numFmtId="0" fontId="148" fillId="0" borderId="0" xfId="0" applyFont="1" applyBorder="1" applyAlignment="1">
      <alignment horizontal="center" wrapText="1"/>
    </xf>
    <xf numFmtId="0" fontId="147" fillId="0" borderId="42" xfId="0" applyFont="1" applyBorder="1" applyAlignment="1">
      <alignment horizontal="center" vertical="center"/>
    </xf>
    <xf numFmtId="0" fontId="147" fillId="0" borderId="43" xfId="0" applyFont="1" applyBorder="1" applyAlignment="1">
      <alignment horizontal="center" vertical="center"/>
    </xf>
    <xf numFmtId="0" fontId="147" fillId="0" borderId="44" xfId="0" applyFont="1" applyBorder="1" applyAlignment="1">
      <alignment horizontal="center" vertical="center"/>
    </xf>
    <xf numFmtId="0" fontId="147" fillId="0" borderId="45" xfId="0" applyFont="1" applyBorder="1" applyAlignment="1">
      <alignment horizontal="center" vertical="center"/>
    </xf>
    <xf numFmtId="0" fontId="147" fillId="0" borderId="0" xfId="0" applyFont="1" applyBorder="1" applyAlignment="1">
      <alignment horizontal="center" vertical="center"/>
    </xf>
    <xf numFmtId="0" fontId="147" fillId="0" borderId="46" xfId="0" applyFont="1" applyBorder="1" applyAlignment="1">
      <alignment horizontal="center" vertical="center"/>
    </xf>
    <xf numFmtId="0" fontId="7" fillId="0" borderId="45" xfId="0" applyFont="1" applyBorder="1" applyAlignment="1">
      <alignment horizontal="center"/>
    </xf>
    <xf numFmtId="0" fontId="0" fillId="0" borderId="45" xfId="0" applyBorder="1" applyAlignment="1">
      <alignment horizontal="center"/>
    </xf>
    <xf numFmtId="0" fontId="0" fillId="0" borderId="0" xfId="0" applyBorder="1" applyAlignment="1">
      <alignment horizontal="justify" wrapText="1"/>
    </xf>
    <xf numFmtId="0" fontId="0" fillId="0" borderId="46" xfId="0" applyBorder="1" applyAlignment="1">
      <alignment horizontal="justify" wrapText="1"/>
    </xf>
    <xf numFmtId="0" fontId="68" fillId="0" borderId="45" xfId="0" applyFont="1" applyBorder="1" applyAlignment="1">
      <alignment horizontal="center" wrapText="1"/>
    </xf>
    <xf numFmtId="0" fontId="68" fillId="0" borderId="0" xfId="0" applyFont="1" applyBorder="1" applyAlignment="1">
      <alignment horizontal="center" wrapText="1"/>
    </xf>
    <xf numFmtId="0" fontId="15" fillId="0" borderId="17" xfId="0" applyFont="1" applyBorder="1" applyAlignment="1">
      <alignment horizontal="left" wrapText="1"/>
    </xf>
    <xf numFmtId="0" fontId="15" fillId="0" borderId="46" xfId="0" applyFont="1" applyBorder="1" applyAlignment="1">
      <alignment horizontal="left" wrapText="1"/>
    </xf>
    <xf numFmtId="0" fontId="15" fillId="0" borderId="17" xfId="0" applyFont="1" applyBorder="1" applyAlignment="1">
      <alignment horizontal="center" wrapText="1"/>
    </xf>
    <xf numFmtId="0" fontId="15" fillId="0" borderId="0" xfId="0" applyFont="1" applyBorder="1" applyAlignment="1">
      <alignment horizontal="center" wrapText="1"/>
    </xf>
    <xf numFmtId="0" fontId="15" fillId="0" borderId="45" xfId="0" applyFont="1" applyBorder="1" applyAlignment="1">
      <alignment horizontal="center" wrapText="1"/>
    </xf>
    <xf numFmtId="0" fontId="15" fillId="0" borderId="0" xfId="0" applyFont="1" applyBorder="1" applyAlignment="1">
      <alignment horizontal="left"/>
    </xf>
    <xf numFmtId="0" fontId="145" fillId="0" borderId="42" xfId="0" applyFont="1" applyBorder="1" applyAlignment="1">
      <alignment horizontal="center" vertical="center"/>
    </xf>
    <xf numFmtId="0" fontId="145" fillId="0" borderId="43" xfId="0" applyFont="1" applyBorder="1" applyAlignment="1">
      <alignment horizontal="center" vertical="center"/>
    </xf>
    <xf numFmtId="0" fontId="145" fillId="0" borderId="44" xfId="0" applyFont="1" applyBorder="1" applyAlignment="1">
      <alignment horizontal="center" vertical="center"/>
    </xf>
    <xf numFmtId="0" fontId="15" fillId="0" borderId="15" xfId="0" applyFont="1" applyBorder="1" applyAlignment="1">
      <alignment horizontal="center"/>
    </xf>
    <xf numFmtId="0" fontId="15" fillId="0" borderId="19" xfId="0" applyFont="1" applyBorder="1" applyAlignment="1">
      <alignment horizontal="center"/>
    </xf>
    <xf numFmtId="0" fontId="30" fillId="0" borderId="0" xfId="0" applyFont="1" applyBorder="1" applyAlignment="1">
      <alignment horizontal="justify" vertical="top" wrapText="1"/>
    </xf>
    <xf numFmtId="0" fontId="30" fillId="0" borderId="46" xfId="0" applyFont="1" applyBorder="1" applyAlignment="1">
      <alignment horizontal="justify" vertical="top" wrapText="1"/>
    </xf>
    <xf numFmtId="0" fontId="30" fillId="0" borderId="45" xfId="0" applyFont="1" applyBorder="1" applyAlignment="1">
      <alignment horizontal="center" vertical="center" wrapText="1"/>
    </xf>
    <xf numFmtId="0" fontId="30" fillId="0" borderId="0" xfId="0" applyFont="1" applyBorder="1" applyAlignment="1">
      <alignment horizontal="center" vertical="center" wrapText="1"/>
    </xf>
    <xf numFmtId="0" fontId="15" fillId="0" borderId="15" xfId="0" applyFont="1" applyBorder="1" applyAlignment="1">
      <alignment horizontal="center" vertical="center"/>
    </xf>
    <xf numFmtId="0" fontId="15" fillId="0" borderId="0" xfId="0" applyFont="1" applyBorder="1" applyAlignment="1">
      <alignment horizontal="center" vertical="center"/>
    </xf>
    <xf numFmtId="0" fontId="174" fillId="0" borderId="0" xfId="119" applyFont="1" applyAlignment="1">
      <alignment horizontal="center" vertical="top"/>
    </xf>
    <xf numFmtId="0" fontId="174" fillId="0" borderId="0" xfId="0" applyFont="1" applyAlignment="1">
      <alignment horizontal="center" vertical="top"/>
    </xf>
    <xf numFmtId="0" fontId="174" fillId="0" borderId="0" xfId="0" applyFont="1" applyAlignment="1">
      <alignment horizontal="left" vertical="top" wrapText="1"/>
    </xf>
    <xf numFmtId="1" fontId="174" fillId="0" borderId="8" xfId="0" applyNumberFormat="1" applyFont="1" applyBorder="1" applyAlignment="1">
      <alignment horizontal="center" vertical="top"/>
    </xf>
    <xf numFmtId="0" fontId="175" fillId="0" borderId="8" xfId="0" applyFont="1" applyBorder="1" applyAlignment="1">
      <alignment horizontal="justify" vertical="top" wrapText="1"/>
    </xf>
    <xf numFmtId="0" fontId="175" fillId="0" borderId="8" xfId="0" applyFont="1" applyBorder="1" applyAlignment="1">
      <alignment horizontal="left" vertical="top" wrapText="1"/>
    </xf>
    <xf numFmtId="14" fontId="130" fillId="0" borderId="0" xfId="119" applyNumberFormat="1" applyFont="1" applyAlignment="1">
      <alignment horizontal="center" vertical="top"/>
    </xf>
    <xf numFmtId="169" fontId="15" fillId="0" borderId="8" xfId="0" applyNumberFormat="1" applyFont="1" applyFill="1" applyBorder="1" applyAlignment="1">
      <alignment horizontal="left" vertical="top" wrapText="1"/>
    </xf>
    <xf numFmtId="0" fontId="15" fillId="0" borderId="8" xfId="0" applyFont="1" applyFill="1" applyBorder="1" applyAlignment="1">
      <alignment horizontal="justify" vertical="top" wrapText="1"/>
    </xf>
    <xf numFmtId="0" fontId="15" fillId="0" borderId="8" xfId="0" applyFont="1" applyFill="1" applyBorder="1" applyAlignment="1">
      <alignment horizontal="justify" vertical="top"/>
    </xf>
    <xf numFmtId="0" fontId="15" fillId="0" borderId="35" xfId="0" applyFont="1" applyFill="1" applyBorder="1" applyAlignment="1">
      <alignment horizontal="justify" vertical="top" wrapText="1"/>
    </xf>
    <xf numFmtId="0" fontId="15" fillId="0" borderId="4" xfId="0" applyFont="1" applyFill="1" applyBorder="1" applyAlignment="1">
      <alignment horizontal="justify" vertical="top" wrapText="1"/>
    </xf>
    <xf numFmtId="0" fontId="15" fillId="0" borderId="36" xfId="0" applyFont="1" applyFill="1" applyBorder="1" applyAlignment="1">
      <alignment horizontal="justify" vertical="top" wrapText="1"/>
    </xf>
    <xf numFmtId="0" fontId="30" fillId="0" borderId="8" xfId="0" applyFont="1" applyFill="1" applyBorder="1" applyAlignment="1">
      <alignment horizontal="left" vertical="top" wrapText="1"/>
    </xf>
    <xf numFmtId="2" fontId="30" fillId="0" borderId="36" xfId="0" applyNumberFormat="1" applyFont="1" applyFill="1" applyBorder="1" applyAlignment="1">
      <alignment horizontal="center" vertical="center" wrapText="1"/>
    </xf>
    <xf numFmtId="2" fontId="30" fillId="0" borderId="8" xfId="0" applyNumberFormat="1" applyFont="1" applyFill="1" applyBorder="1" applyAlignment="1">
      <alignment horizontal="center" vertical="center" wrapText="1"/>
    </xf>
    <xf numFmtId="1" fontId="15" fillId="0" borderId="8" xfId="0" applyNumberFormat="1" applyFont="1" applyFill="1" applyBorder="1" applyAlignment="1">
      <alignment horizontal="center" vertical="center"/>
    </xf>
    <xf numFmtId="0" fontId="118" fillId="0" borderId="8" xfId="0" applyFont="1" applyFill="1" applyBorder="1" applyAlignment="1">
      <alignment horizontal="center" wrapText="1"/>
    </xf>
    <xf numFmtId="0" fontId="101" fillId="0" borderId="8" xfId="0" applyFont="1" applyFill="1" applyBorder="1"/>
    <xf numFmtId="0" fontId="44" fillId="0" borderId="35" xfId="0" applyFont="1" applyFill="1" applyBorder="1" applyAlignment="1">
      <alignment horizontal="justify" vertical="center" wrapText="1"/>
    </xf>
    <xf numFmtId="0" fontId="44" fillId="0" borderId="4" xfId="0" applyFont="1" applyFill="1" applyBorder="1" applyAlignment="1">
      <alignment horizontal="justify" vertical="center" wrapText="1"/>
    </xf>
    <xf numFmtId="0" fontId="44" fillId="0" borderId="36" xfId="0" applyFont="1" applyFill="1" applyBorder="1" applyAlignment="1">
      <alignment horizontal="justify" vertical="center" wrapText="1"/>
    </xf>
    <xf numFmtId="0" fontId="15" fillId="0" borderId="8" xfId="0" applyFont="1" applyFill="1" applyBorder="1" applyAlignment="1">
      <alignment horizontal="center" vertical="center" wrapText="1"/>
    </xf>
    <xf numFmtId="0" fontId="30" fillId="0" borderId="8" xfId="0" applyFont="1" applyFill="1" applyBorder="1" applyAlignment="1">
      <alignment horizontal="center" vertical="center" wrapText="1"/>
    </xf>
    <xf numFmtId="0" fontId="30" fillId="0" borderId="8" xfId="0" applyFont="1" applyFill="1" applyBorder="1" applyAlignment="1">
      <alignment horizontal="center"/>
    </xf>
    <xf numFmtId="2" fontId="15" fillId="0" borderId="8" xfId="0" applyNumberFormat="1" applyFont="1" applyFill="1" applyBorder="1" applyAlignment="1">
      <alignment horizontal="center" vertical="center" wrapText="1"/>
    </xf>
    <xf numFmtId="0" fontId="10" fillId="0" borderId="0" xfId="0" applyFont="1" applyAlignment="1">
      <alignment horizontal="center"/>
    </xf>
    <xf numFmtId="0" fontId="10" fillId="0" borderId="19" xfId="0" applyFont="1" applyBorder="1" applyAlignment="1">
      <alignment horizontal="justify" vertical="center" wrapText="1"/>
    </xf>
    <xf numFmtId="0" fontId="10" fillId="0" borderId="35"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1" fillId="0" borderId="8" xfId="0" applyFont="1" applyFill="1" applyBorder="1" applyAlignment="1">
      <alignment horizontal="right" vertical="center" wrapText="1"/>
    </xf>
    <xf numFmtId="0" fontId="102" fillId="0" borderId="8" xfId="0" applyFont="1" applyFill="1" applyBorder="1" applyAlignment="1">
      <alignment horizontal="right" vertical="center" wrapText="1"/>
    </xf>
    <xf numFmtId="2" fontId="102" fillId="0" borderId="34" xfId="0" applyNumberFormat="1" applyFont="1" applyFill="1" applyBorder="1" applyAlignment="1">
      <alignment horizontal="center" vertical="center" wrapText="1"/>
    </xf>
    <xf numFmtId="2" fontId="102" fillId="0" borderId="37" xfId="0" applyNumberFormat="1" applyFont="1" applyFill="1" applyBorder="1" applyAlignment="1">
      <alignment horizontal="center" vertical="center" wrapText="1"/>
    </xf>
    <xf numFmtId="0" fontId="100" fillId="0" borderId="8" xfId="0" applyFont="1" applyFill="1" applyBorder="1" applyAlignment="1">
      <alignment horizontal="center" wrapText="1"/>
    </xf>
    <xf numFmtId="0" fontId="97" fillId="0" borderId="8" xfId="0" applyFont="1" applyFill="1" applyBorder="1" applyAlignment="1">
      <alignment horizontal="center"/>
    </xf>
    <xf numFmtId="2" fontId="102" fillId="0" borderId="8" xfId="0" applyNumberFormat="1" applyFont="1" applyFill="1" applyBorder="1" applyAlignment="1">
      <alignment horizontal="center" vertical="center" wrapText="1"/>
    </xf>
    <xf numFmtId="0" fontId="124" fillId="0" borderId="8" xfId="0" applyFont="1" applyFill="1" applyBorder="1" applyAlignment="1">
      <alignment horizontal="center" vertical="center" wrapText="1"/>
    </xf>
    <xf numFmtId="9" fontId="102" fillId="0" borderId="8" xfId="0" applyNumberFormat="1" applyFont="1" applyFill="1" applyBorder="1" applyAlignment="1">
      <alignment horizontal="left" vertical="top" wrapText="1"/>
    </xf>
    <xf numFmtId="0" fontId="102" fillId="0" borderId="8" xfId="0" applyFont="1" applyFill="1" applyBorder="1" applyAlignment="1">
      <alignment horizontal="left" vertical="top" wrapText="1"/>
    </xf>
    <xf numFmtId="1" fontId="97" fillId="0" borderId="8" xfId="0" applyNumberFormat="1" applyFont="1" applyFill="1" applyBorder="1" applyAlignment="1">
      <alignment horizontal="center" vertical="center"/>
    </xf>
    <xf numFmtId="0" fontId="102" fillId="0" borderId="8" xfId="0" applyFont="1" applyFill="1" applyBorder="1" applyAlignment="1">
      <alignment horizontal="center" vertical="center" wrapText="1"/>
    </xf>
    <xf numFmtId="0" fontId="102" fillId="0" borderId="8" xfId="0" applyFont="1" applyFill="1" applyBorder="1" applyAlignment="1">
      <alignment horizontal="center"/>
    </xf>
    <xf numFmtId="0" fontId="102" fillId="0" borderId="0" xfId="0" applyFont="1" applyFill="1" applyBorder="1" applyAlignment="1">
      <alignment horizontal="center" vertical="center" wrapText="1"/>
    </xf>
    <xf numFmtId="0" fontId="78" fillId="0" borderId="8" xfId="0" applyFont="1" applyFill="1" applyBorder="1" applyAlignment="1">
      <alignment horizontal="center" textRotation="90" wrapText="1"/>
    </xf>
    <xf numFmtId="0" fontId="10" fillId="0" borderId="8" xfId="0" applyFont="1" applyFill="1" applyBorder="1" applyAlignment="1">
      <alignment horizontal="center" wrapText="1"/>
    </xf>
    <xf numFmtId="0" fontId="78" fillId="43" borderId="8" xfId="0" applyFont="1" applyFill="1" applyBorder="1" applyAlignment="1">
      <alignment horizontal="center" textRotation="90" wrapText="1"/>
    </xf>
    <xf numFmtId="0" fontId="10" fillId="43" borderId="8" xfId="0" applyFont="1" applyFill="1" applyBorder="1" applyAlignment="1">
      <alignment horizontal="center" wrapText="1"/>
    </xf>
    <xf numFmtId="0" fontId="0" fillId="0" borderId="8" xfId="0" applyFill="1" applyBorder="1" applyAlignment="1">
      <alignment wrapText="1"/>
    </xf>
    <xf numFmtId="0" fontId="0" fillId="43" borderId="8" xfId="0" applyFill="1" applyBorder="1" applyAlignment="1">
      <alignment wrapText="1"/>
    </xf>
    <xf numFmtId="0" fontId="78" fillId="41" borderId="8" xfId="0" applyFont="1" applyFill="1" applyBorder="1" applyAlignment="1">
      <alignment horizontal="center" textRotation="90" wrapText="1"/>
    </xf>
    <xf numFmtId="0" fontId="10" fillId="41" borderId="8" xfId="0" applyFont="1" applyFill="1" applyBorder="1" applyAlignment="1">
      <alignment horizontal="center" wrapText="1"/>
    </xf>
    <xf numFmtId="0" fontId="0" fillId="41" borderId="8" xfId="0" applyFill="1" applyBorder="1" applyAlignment="1">
      <alignment wrapText="1"/>
    </xf>
    <xf numFmtId="0" fontId="78" fillId="0" borderId="35" xfId="0" applyFont="1" applyFill="1" applyBorder="1" applyAlignment="1">
      <alignment horizontal="center" vertical="center" wrapText="1"/>
    </xf>
    <xf numFmtId="0" fontId="78" fillId="0" borderId="4" xfId="0" applyFont="1" applyFill="1" applyBorder="1" applyAlignment="1">
      <alignment horizontal="center" vertical="center" wrapText="1"/>
    </xf>
    <xf numFmtId="0" fontId="89" fillId="0" borderId="8" xfId="0" applyFont="1" applyFill="1" applyBorder="1" applyAlignment="1">
      <alignment horizontal="center" vertical="top" wrapText="1"/>
    </xf>
    <xf numFmtId="0" fontId="78" fillId="0" borderId="8" xfId="0" applyFont="1" applyFill="1" applyBorder="1" applyAlignment="1">
      <alignment horizontal="center" vertical="center" wrapText="1"/>
    </xf>
    <xf numFmtId="0" fontId="78" fillId="0" borderId="17" xfId="0" applyFont="1" applyFill="1" applyBorder="1" applyAlignment="1">
      <alignment horizontal="center" textRotation="90" wrapText="1"/>
    </xf>
    <xf numFmtId="0" fontId="10" fillId="0" borderId="0" xfId="0" applyFont="1" applyFill="1" applyAlignment="1">
      <alignment horizontal="center" wrapText="1"/>
    </xf>
    <xf numFmtId="0" fontId="7" fillId="0" borderId="0" xfId="0" applyFont="1" applyFill="1" applyAlignment="1">
      <alignment wrapText="1"/>
    </xf>
    <xf numFmtId="0" fontId="78" fillId="0" borderId="0" xfId="0" applyFont="1" applyFill="1" applyBorder="1" applyAlignment="1">
      <alignment horizontal="center" vertical="top" wrapText="1"/>
    </xf>
    <xf numFmtId="0" fontId="78" fillId="0" borderId="0" xfId="0" applyFont="1" applyFill="1" applyBorder="1" applyAlignment="1">
      <alignment horizontal="center" vertical="center" wrapText="1"/>
    </xf>
    <xf numFmtId="0" fontId="78" fillId="0" borderId="0" xfId="0" applyFont="1" applyFill="1" applyBorder="1" applyAlignment="1">
      <alignment horizontal="center"/>
    </xf>
    <xf numFmtId="0" fontId="104" fillId="0" borderId="8" xfId="82" applyFont="1" applyFill="1" applyBorder="1" applyAlignment="1">
      <alignment horizontal="center" vertical="center" wrapText="1"/>
    </xf>
    <xf numFmtId="0" fontId="108" fillId="0" borderId="8" xfId="82" applyFont="1" applyFill="1" applyBorder="1" applyAlignment="1">
      <alignment horizontal="center" vertical="center" wrapText="1"/>
    </xf>
    <xf numFmtId="0" fontId="109" fillId="0" borderId="8" xfId="0" applyFont="1" applyFill="1" applyBorder="1" applyAlignment="1">
      <alignment horizontal="center" vertical="center" wrapText="1"/>
    </xf>
    <xf numFmtId="0" fontId="103" fillId="0" borderId="8" xfId="82" applyFont="1" applyFill="1" applyBorder="1" applyAlignment="1">
      <alignment horizontal="center" vertical="center" wrapText="1"/>
    </xf>
    <xf numFmtId="0" fontId="63" fillId="0" borderId="8" xfId="82" applyFont="1" applyFill="1" applyBorder="1" applyAlignment="1">
      <alignment horizontal="center" vertical="center" wrapText="1"/>
    </xf>
    <xf numFmtId="0" fontId="10" fillId="0" borderId="8" xfId="0" applyFont="1" applyFill="1" applyBorder="1" applyAlignment="1">
      <alignment horizontal="center" vertical="center" wrapText="1"/>
    </xf>
    <xf numFmtId="0" fontId="50" fillId="0" borderId="0" xfId="87" applyFont="1" applyAlignment="1">
      <alignment horizontal="center" wrapText="1"/>
    </xf>
    <xf numFmtId="0" fontId="49" fillId="0" borderId="0" xfId="0" applyFont="1" applyAlignment="1">
      <alignment horizontal="center" wrapText="1"/>
    </xf>
    <xf numFmtId="0" fontId="40" fillId="27" borderId="0" xfId="87" applyFont="1" applyFill="1" applyAlignment="1">
      <alignment horizontal="center" vertical="top" wrapText="1"/>
    </xf>
    <xf numFmtId="0" fontId="40" fillId="37" borderId="0" xfId="87" applyFont="1" applyFill="1" applyAlignment="1">
      <alignment horizontal="center" vertical="top" wrapText="1"/>
    </xf>
    <xf numFmtId="0" fontId="40" fillId="33" borderId="0" xfId="87" applyFont="1" applyFill="1" applyAlignment="1">
      <alignment horizontal="center" vertical="top" wrapText="1"/>
    </xf>
    <xf numFmtId="0" fontId="40" fillId="39" borderId="0" xfId="87" applyFont="1" applyFill="1" applyAlignment="1">
      <alignment horizontal="center" vertical="top" wrapText="1"/>
    </xf>
    <xf numFmtId="2" fontId="57" fillId="31" borderId="0" xfId="85" applyNumberFormat="1" applyFont="1" applyFill="1" applyBorder="1" applyAlignment="1">
      <alignment horizontal="left" vertical="top" wrapText="1"/>
    </xf>
    <xf numFmtId="0" fontId="51" fillId="0" borderId="0" xfId="0" applyNumberFormat="1" applyFont="1" applyFill="1" applyBorder="1" applyAlignment="1" applyProtection="1">
      <alignment horizontal="justify" vertical="top" wrapText="1"/>
    </xf>
    <xf numFmtId="0" fontId="57" fillId="0" borderId="0" xfId="85" applyFont="1" applyBorder="1" applyAlignment="1">
      <alignment horizontal="center" vertical="top" wrapText="1"/>
    </xf>
    <xf numFmtId="0" fontId="51" fillId="0" borderId="0" xfId="0" applyFont="1" applyBorder="1" applyAlignment="1">
      <alignment horizontal="left" vertical="top" wrapText="1"/>
    </xf>
    <xf numFmtId="0" fontId="51" fillId="0" borderId="0" xfId="86" applyFont="1" applyBorder="1" applyAlignment="1">
      <alignment horizontal="justify" vertical="top" wrapText="1"/>
    </xf>
    <xf numFmtId="0" fontId="0" fillId="0" borderId="0" xfId="0" applyAlignment="1">
      <alignment horizontal="center" wrapText="1"/>
    </xf>
    <xf numFmtId="0" fontId="101" fillId="0" borderId="8" xfId="0" applyFont="1" applyFill="1" applyBorder="1" applyAlignment="1">
      <alignment horizontal="left" vertical="center" wrapText="1"/>
    </xf>
    <xf numFmtId="0" fontId="101" fillId="0" borderId="35" xfId="66" applyFont="1" applyFill="1" applyBorder="1" applyAlignment="1">
      <alignment horizontal="left" vertical="top" wrapText="1"/>
    </xf>
    <xf numFmtId="0" fontId="101" fillId="0" borderId="4" xfId="66" applyFont="1" applyFill="1" applyBorder="1" applyAlignment="1">
      <alignment horizontal="left" vertical="top" wrapText="1"/>
    </xf>
    <xf numFmtId="0" fontId="101" fillId="0" borderId="36" xfId="66" applyFont="1" applyFill="1" applyBorder="1" applyAlignment="1">
      <alignment horizontal="left" vertical="top" wrapText="1"/>
    </xf>
    <xf numFmtId="0" fontId="102" fillId="0" borderId="8" xfId="0" applyFont="1" applyFill="1" applyBorder="1" applyAlignment="1">
      <alignment horizontal="center" vertical="top" wrapText="1"/>
    </xf>
    <xf numFmtId="169" fontId="102" fillId="0" borderId="8" xfId="0" applyNumberFormat="1" applyFont="1" applyBorder="1" applyAlignment="1">
      <alignment horizontal="justify" vertical="top" wrapText="1"/>
    </xf>
    <xf numFmtId="169" fontId="101" fillId="0" borderId="8" xfId="0" applyNumberFormat="1" applyFont="1" applyBorder="1" applyAlignment="1">
      <alignment horizontal="justify" vertical="top" wrapText="1"/>
    </xf>
    <xf numFmtId="169" fontId="102" fillId="0" borderId="8" xfId="0" applyNumberFormat="1" applyFont="1" applyBorder="1" applyAlignment="1">
      <alignment horizontal="left" vertical="top" wrapText="1"/>
    </xf>
    <xf numFmtId="0" fontId="101" fillId="0" borderId="8" xfId="0" applyFont="1" applyFill="1" applyBorder="1" applyAlignment="1">
      <alignment horizontal="left" vertical="top" wrapText="1"/>
    </xf>
    <xf numFmtId="0" fontId="51" fillId="41" borderId="8" xfId="0" applyFont="1" applyFill="1" applyBorder="1" applyAlignment="1">
      <alignment horizontal="justify" vertical="top" wrapText="1"/>
    </xf>
    <xf numFmtId="169" fontId="102" fillId="0" borderId="8" xfId="0" applyNumberFormat="1" applyFont="1" applyFill="1" applyBorder="1" applyAlignment="1">
      <alignment horizontal="left" vertical="top" wrapText="1"/>
    </xf>
    <xf numFmtId="0" fontId="30" fillId="0" borderId="0" xfId="0" applyFont="1" applyFill="1" applyBorder="1" applyAlignment="1">
      <alignment horizontal="center" vertical="top" wrapText="1"/>
    </xf>
    <xf numFmtId="0" fontId="15" fillId="0" borderId="0" xfId="0" applyFont="1" applyFill="1" applyAlignment="1">
      <alignment wrapText="1"/>
    </xf>
    <xf numFmtId="0" fontId="30" fillId="0" borderId="0" xfId="0" applyFont="1" applyFill="1" applyBorder="1" applyAlignment="1">
      <alignment horizontal="center" vertical="center" wrapText="1"/>
    </xf>
    <xf numFmtId="0" fontId="30" fillId="0" borderId="0" xfId="0" applyFont="1" applyFill="1" applyBorder="1" applyAlignment="1">
      <alignment horizontal="center" wrapText="1"/>
    </xf>
    <xf numFmtId="0" fontId="0" fillId="0" borderId="0" xfId="0" applyAlignment="1">
      <alignment horizontal="center"/>
    </xf>
    <xf numFmtId="0" fontId="102" fillId="0" borderId="35" xfId="0" applyFont="1" applyBorder="1" applyAlignment="1">
      <alignment horizontal="center" vertical="center" wrapText="1"/>
    </xf>
    <xf numFmtId="0" fontId="102" fillId="0" borderId="36" xfId="0" applyFont="1" applyBorder="1" applyAlignment="1">
      <alignment horizontal="center" vertical="center" wrapText="1"/>
    </xf>
    <xf numFmtId="0" fontId="116" fillId="0" borderId="0" xfId="105" applyFont="1" applyFill="1" applyAlignment="1">
      <alignment horizontal="center"/>
    </xf>
    <xf numFmtId="0" fontId="117" fillId="0" borderId="0" xfId="105" applyFont="1" applyFill="1" applyAlignment="1">
      <alignment horizontal="center" wrapText="1"/>
    </xf>
    <xf numFmtId="0" fontId="102" fillId="0" borderId="19" xfId="105" applyFont="1" applyFill="1" applyBorder="1" applyAlignment="1">
      <alignment horizontal="center"/>
    </xf>
    <xf numFmtId="0" fontId="116" fillId="0" borderId="0" xfId="105" applyFont="1" applyFill="1" applyAlignment="1">
      <alignment horizontal="center" wrapText="1"/>
    </xf>
    <xf numFmtId="0" fontId="97" fillId="0" borderId="8" xfId="0" applyFont="1" applyFill="1" applyBorder="1" applyAlignment="1">
      <alignment horizontal="left" vertical="top" wrapText="1"/>
    </xf>
    <xf numFmtId="0" fontId="44" fillId="0" borderId="14" xfId="0" applyFont="1" applyFill="1" applyBorder="1" applyAlignment="1">
      <alignment horizontal="center"/>
    </xf>
    <xf numFmtId="0" fontId="44" fillId="0" borderId="15" xfId="0" applyFont="1" applyFill="1" applyBorder="1" applyAlignment="1">
      <alignment horizontal="center"/>
    </xf>
    <xf numFmtId="0" fontId="44" fillId="0" borderId="16" xfId="0" applyFont="1" applyFill="1" applyBorder="1" applyAlignment="1">
      <alignment horizontal="center"/>
    </xf>
    <xf numFmtId="0" fontId="44" fillId="0" borderId="0" xfId="0" applyFont="1" applyFill="1" applyBorder="1" applyAlignment="1">
      <alignment horizontal="center"/>
    </xf>
    <xf numFmtId="0" fontId="97" fillId="0" borderId="8" xfId="0" applyFont="1" applyFill="1" applyBorder="1" applyAlignment="1">
      <alignment horizontal="left"/>
    </xf>
    <xf numFmtId="2" fontId="97" fillId="0" borderId="8" xfId="0" applyNumberFormat="1" applyFont="1" applyFill="1" applyBorder="1" applyAlignment="1">
      <alignment horizontal="center" vertical="center"/>
    </xf>
    <xf numFmtId="0" fontId="97" fillId="0" borderId="8" xfId="0" applyFont="1" applyFill="1" applyBorder="1" applyAlignment="1">
      <alignment horizontal="center" vertical="center"/>
    </xf>
    <xf numFmtId="0" fontId="97" fillId="0" borderId="0" xfId="0" applyFont="1" applyFill="1" applyBorder="1" applyAlignment="1">
      <alignment horizontal="left"/>
    </xf>
    <xf numFmtId="0" fontId="97" fillId="0" borderId="8" xfId="0" applyFont="1" applyFill="1" applyBorder="1" applyAlignment="1">
      <alignment horizontal="right"/>
    </xf>
    <xf numFmtId="0" fontId="97" fillId="0" borderId="8" xfId="0" applyFont="1" applyFill="1" applyBorder="1" applyAlignment="1">
      <alignment horizontal="left" wrapText="1"/>
    </xf>
    <xf numFmtId="0" fontId="97" fillId="0" borderId="35" xfId="0" applyFont="1" applyFill="1" applyBorder="1" applyAlignment="1">
      <alignment horizontal="left" vertical="top" wrapText="1"/>
    </xf>
    <xf numFmtId="0" fontId="97" fillId="0" borderId="4" xfId="0" applyFont="1" applyFill="1" applyBorder="1" applyAlignment="1">
      <alignment horizontal="left" vertical="top" wrapText="1"/>
    </xf>
    <xf numFmtId="0" fontId="97" fillId="0" borderId="36" xfId="0" applyFont="1" applyFill="1" applyBorder="1" applyAlignment="1">
      <alignment horizontal="left" vertical="top" wrapText="1"/>
    </xf>
    <xf numFmtId="0" fontId="113" fillId="0" borderId="0" xfId="0" applyFont="1" applyAlignment="1">
      <alignment horizontal="center"/>
    </xf>
    <xf numFmtId="0" fontId="113" fillId="0" borderId="19" xfId="0" applyFont="1" applyBorder="1" applyAlignment="1">
      <alignment horizontal="center"/>
    </xf>
    <xf numFmtId="0" fontId="116" fillId="0" borderId="0" xfId="105" applyFont="1" applyAlignment="1">
      <alignment horizontal="center"/>
    </xf>
    <xf numFmtId="0" fontId="117" fillId="0" borderId="0" xfId="105" applyFont="1" applyAlignment="1">
      <alignment horizontal="center" wrapText="1"/>
    </xf>
    <xf numFmtId="0" fontId="102" fillId="0" borderId="19" xfId="105" applyFont="1" applyBorder="1" applyAlignment="1">
      <alignment horizontal="center"/>
    </xf>
    <xf numFmtId="0" fontId="97" fillId="0" borderId="35" xfId="0" applyFont="1" applyFill="1" applyBorder="1" applyAlignment="1">
      <alignment horizontal="justify" vertical="justify" wrapText="1"/>
    </xf>
    <xf numFmtId="0" fontId="97" fillId="0" borderId="4" xfId="0" applyFont="1" applyFill="1" applyBorder="1" applyAlignment="1">
      <alignment horizontal="justify" vertical="justify" wrapText="1"/>
    </xf>
    <xf numFmtId="0" fontId="97" fillId="0" borderId="36" xfId="0" applyFont="1" applyFill="1" applyBorder="1" applyAlignment="1">
      <alignment horizontal="justify" vertical="justify" wrapText="1"/>
    </xf>
    <xf numFmtId="0" fontId="102" fillId="0" borderId="19" xfId="0" applyFont="1" applyBorder="1" applyAlignment="1">
      <alignment horizontal="center" vertical="center" wrapText="1"/>
    </xf>
    <xf numFmtId="0" fontId="101" fillId="0" borderId="8" xfId="0" applyFont="1" applyBorder="1" applyAlignment="1">
      <alignment horizontal="center" wrapText="1"/>
    </xf>
    <xf numFmtId="0" fontId="119" fillId="0" borderId="8" xfId="0" applyFont="1" applyFill="1" applyBorder="1" applyAlignment="1">
      <alignment horizontal="center"/>
    </xf>
    <xf numFmtId="0" fontId="15" fillId="0" borderId="0" xfId="0" applyFont="1" applyFill="1" applyBorder="1" applyAlignment="1">
      <alignment wrapText="1"/>
    </xf>
    <xf numFmtId="0" fontId="30" fillId="0" borderId="8" xfId="0" applyFont="1" applyFill="1" applyBorder="1"/>
    <xf numFmtId="0" fontId="15" fillId="0" borderId="8" xfId="0" applyFont="1" applyFill="1" applyBorder="1" applyAlignment="1">
      <alignment wrapText="1"/>
    </xf>
    <xf numFmtId="0" fontId="15" fillId="0" borderId="8" xfId="0" applyFont="1" applyFill="1" applyBorder="1" applyAlignment="1">
      <alignment horizontal="center" vertical="center"/>
    </xf>
    <xf numFmtId="43" fontId="15" fillId="0" borderId="8" xfId="106" applyFont="1" applyFill="1" applyBorder="1" applyAlignment="1">
      <alignment vertical="center"/>
    </xf>
    <xf numFmtId="43" fontId="15" fillId="0" borderId="8" xfId="0" applyNumberFormat="1" applyFont="1" applyFill="1" applyBorder="1" applyAlignment="1">
      <alignment vertical="center"/>
    </xf>
    <xf numFmtId="9" fontId="15" fillId="0" borderId="8" xfId="0" applyNumberFormat="1" applyFont="1" applyFill="1" applyBorder="1" applyAlignment="1">
      <alignment horizontal="center" vertical="center"/>
    </xf>
    <xf numFmtId="43" fontId="15" fillId="0" borderId="8" xfId="0" applyNumberFormat="1" applyFont="1" applyFill="1" applyBorder="1" applyAlignment="1">
      <alignment horizontal="center" vertical="center"/>
    </xf>
    <xf numFmtId="0" fontId="30" fillId="0" borderId="8" xfId="0" applyFont="1" applyFill="1" applyBorder="1" applyAlignment="1">
      <alignment wrapText="1"/>
    </xf>
    <xf numFmtId="43" fontId="15" fillId="0" borderId="8" xfId="106" applyFont="1" applyFill="1" applyBorder="1"/>
    <xf numFmtId="2" fontId="129" fillId="0" borderId="8" xfId="0" applyNumberFormat="1" applyFont="1" applyFill="1" applyBorder="1" applyAlignment="1">
      <alignment horizontal="center" vertical="center"/>
    </xf>
    <xf numFmtId="43" fontId="15" fillId="0" borderId="8" xfId="0" applyNumberFormat="1" applyFont="1" applyFill="1" applyBorder="1"/>
    <xf numFmtId="10" fontId="15" fillId="0" borderId="8" xfId="0" applyNumberFormat="1" applyFont="1" applyFill="1" applyBorder="1" applyAlignment="1">
      <alignment horizontal="center" vertical="center"/>
    </xf>
    <xf numFmtId="0" fontId="133" fillId="0" borderId="8" xfId="0" applyFont="1" applyFill="1" applyBorder="1"/>
    <xf numFmtId="0" fontId="15" fillId="0" borderId="0" xfId="0" applyFont="1" applyFill="1" applyBorder="1" applyAlignment="1">
      <alignment horizontal="right"/>
    </xf>
  </cellXfs>
  <cellStyles count="12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 Currency (0)" xfId="26"/>
    <cellStyle name="Calculation" xfId="27" builtinId="22" customBuiltin="1"/>
    <cellStyle name="Check Cell" xfId="28" builtinId="23" customBuiltin="1"/>
    <cellStyle name="Comma" xfId="106" builtinId="3"/>
    <cellStyle name="Comma  - Style1" xfId="29"/>
    <cellStyle name="Comma  - Style2" xfId="30"/>
    <cellStyle name="Comma  - Style3" xfId="31"/>
    <cellStyle name="Comma  - Style4" xfId="32"/>
    <cellStyle name="Comma  - Style5" xfId="33"/>
    <cellStyle name="Comma  - Style6" xfId="34"/>
    <cellStyle name="Comma  - Style7" xfId="35"/>
    <cellStyle name="Comma  - Style8" xfId="36"/>
    <cellStyle name="Comma 2" xfId="37"/>
    <cellStyle name="Comma 2 2" xfId="38"/>
    <cellStyle name="Comma 4" xfId="39"/>
    <cellStyle name="Copied" xfId="40"/>
    <cellStyle name="Entered" xfId="41"/>
    <cellStyle name="Explanatory Text" xfId="42" builtinId="53" customBuiltin="1"/>
    <cellStyle name="Fixed" xfId="43"/>
    <cellStyle name="Good" xfId="44" builtinId="26" customBuiltin="1"/>
    <cellStyle name="Grey" xfId="45"/>
    <cellStyle name="Header1" xfId="46"/>
    <cellStyle name="Header2" xfId="47"/>
    <cellStyle name="Heading 1" xfId="48" builtinId="16" customBuiltin="1"/>
    <cellStyle name="Heading 2" xfId="49" builtinId="17" customBuiltin="1"/>
    <cellStyle name="Heading 3" xfId="50" builtinId="18" customBuiltin="1"/>
    <cellStyle name="Heading 4" xfId="51" builtinId="19" customBuiltin="1"/>
    <cellStyle name="Input" xfId="52" builtinId="20" customBuiltin="1"/>
    <cellStyle name="Input [yellow]" xfId="53"/>
    <cellStyle name="Linked Cell" xfId="54" builtinId="24" customBuiltin="1"/>
    <cellStyle name="M head" xfId="55"/>
    <cellStyle name="MANKAD" xfId="56"/>
    <cellStyle name="Neutral" xfId="57" builtinId="28" customBuiltin="1"/>
    <cellStyle name="no dec" xfId="58"/>
    <cellStyle name="Normal" xfId="0" builtinId="0"/>
    <cellStyle name="Normal - Style1" xfId="59"/>
    <cellStyle name="Normal 10" xfId="60"/>
    <cellStyle name="Normal 11" xfId="109"/>
    <cellStyle name="Normal 12" xfId="110"/>
    <cellStyle name="Normal 13 2" xfId="61"/>
    <cellStyle name="Normal 14" xfId="62"/>
    <cellStyle name="Normal 17 8" xfId="115"/>
    <cellStyle name="Normal 18" xfId="119"/>
    <cellStyle name="Normal 2" xfId="63"/>
    <cellStyle name="Normal 2 2" xfId="64"/>
    <cellStyle name="Normal 2 3" xfId="65"/>
    <cellStyle name="Normal 2 4" xfId="105"/>
    <cellStyle name="Normal 3" xfId="66"/>
    <cellStyle name="Normal 3 2" xfId="67"/>
    <cellStyle name="Normal 3 2 2" xfId="68"/>
    <cellStyle name="Normal 3 3" xfId="69"/>
    <cellStyle name="Normal 3 4" xfId="70"/>
    <cellStyle name="Normal 3 5" xfId="71"/>
    <cellStyle name="Normal 4" xfId="72"/>
    <cellStyle name="Normal 5" xfId="73"/>
    <cellStyle name="Normal 51" xfId="118"/>
    <cellStyle name="Normal 6" xfId="74"/>
    <cellStyle name="Normal 7" xfId="75"/>
    <cellStyle name="Normal 8" xfId="107"/>
    <cellStyle name="Normal 9" xfId="76"/>
    <cellStyle name="Normal_Book1" xfId="77"/>
    <cellStyle name="Normal_CH - KOLLUR" xfId="78"/>
    <cellStyle name="Normal_Choutlapally - Main estimate &amp; Data - NABARD- for TS" xfId="79"/>
    <cellStyle name="Normal_D A T A - 2004 - 2005 - STGH" xfId="80"/>
    <cellStyle name="Normal_DATAS WITH MORD -07-08 -4(1).3.08" xfId="113"/>
    <cellStyle name="Normal_Julurpad-29.8.05" xfId="81"/>
    <cellStyle name="Normal_LEAD STATEMENT OF JAMMALAMADUGU" xfId="82"/>
    <cellStyle name="Normal_MODEL_ESTIMATE_PMGSY_27_08_CUMBUM" xfId="112"/>
    <cellStyle name="Normal_NB-BHO~1" xfId="83"/>
    <cellStyle name="Normal_Parsharamnagar" xfId="84"/>
    <cellStyle name="Normal_PROJECT.PR" xfId="85"/>
    <cellStyle name="Normal_Reach-II(10.850 to 21.850)" xfId="116"/>
    <cellStyle name="Normal_Rustumpet-new" xfId="86"/>
    <cellStyle name="Normal_Sheet1" xfId="117"/>
    <cellStyle name="Normal_STANDARD DATA 2009-10" xfId="87"/>
    <cellStyle name="Normal_xx" xfId="114"/>
    <cellStyle name="Note" xfId="88" builtinId="10" customBuiltin="1"/>
    <cellStyle name="Output" xfId="89" builtinId="21" customBuiltin="1"/>
    <cellStyle name="Percent" xfId="90" builtinId="5"/>
    <cellStyle name="Percent [2]" xfId="91"/>
    <cellStyle name="Percent 2" xfId="92"/>
    <cellStyle name="Percent 3" xfId="108"/>
    <cellStyle name="Percent 3 2" xfId="93"/>
    <cellStyle name="Percent 4" xfId="111"/>
    <cellStyle name="RevList" xfId="94"/>
    <cellStyle name="style" xfId="95"/>
    <cellStyle name="Style 1" xfId="96"/>
    <cellStyle name="style1" xfId="97"/>
    <cellStyle name="style2" xfId="98"/>
    <cellStyle name="Subtotal" xfId="99"/>
    <cellStyle name="þ_x001d_ð &amp;ý&amp;†ýG_x0008_ X&#10;_x0007__x0001__x0001_" xfId="100"/>
    <cellStyle name="þ_x001d_ð&quot;_x000c_Býò_x000c_5ýU_x0001_e_x0005_¹,_x0007__x0001__x0001_" xfId="101"/>
    <cellStyle name="Title" xfId="102" builtinId="15" customBuiltin="1"/>
    <cellStyle name="Total" xfId="103" builtinId="25" customBuiltin="1"/>
    <cellStyle name="Warning Text" xfId="104" builtinId="11" customBuiltin="1"/>
  </cellStyles>
  <dxfs count="4">
    <dxf>
      <fill>
        <patternFill patternType="solid">
          <bgColor rgb="FFFFFF00"/>
        </patternFill>
      </fill>
    </dxf>
    <dxf>
      <font>
        <color theme="0"/>
      </font>
    </dxf>
    <dxf>
      <font>
        <color theme="0"/>
      </font>
    </dxf>
    <dxf>
      <font>
        <color theme="0"/>
      </font>
    </dxf>
  </dxfs>
  <tableStyles count="0" defaultTableStyle="TableStyleMedium9" defaultPivotStyle="PivotStyleLight16"/>
  <colors>
    <mruColors>
      <color rgb="FFFFFFCC"/>
    </mruColors>
  </colors>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2.xml"/><Relationship Id="rId47" Type="http://schemas.openxmlformats.org/officeDocument/2006/relationships/externalLink" Target="externalLinks/externalLink7.xml"/><Relationship Id="rId50" Type="http://schemas.openxmlformats.org/officeDocument/2006/relationships/externalLink" Target="externalLinks/externalLink10.xml"/><Relationship Id="rId55" Type="http://schemas.openxmlformats.org/officeDocument/2006/relationships/externalLink" Target="externalLinks/externalLink15.xml"/><Relationship Id="rId63" Type="http://schemas.openxmlformats.org/officeDocument/2006/relationships/externalLink" Target="externalLinks/externalLink23.xml"/><Relationship Id="rId68" Type="http://schemas.openxmlformats.org/officeDocument/2006/relationships/externalLink" Target="externalLinks/externalLink28.xml"/><Relationship Id="rId76" Type="http://schemas.openxmlformats.org/officeDocument/2006/relationships/externalLink" Target="externalLinks/externalLink36.xml"/><Relationship Id="rId84" Type="http://schemas.openxmlformats.org/officeDocument/2006/relationships/externalLink" Target="externalLinks/externalLink44.xml"/><Relationship Id="rId89"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externalLink" Target="externalLinks/externalLink3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5.xml"/><Relationship Id="rId53" Type="http://schemas.openxmlformats.org/officeDocument/2006/relationships/externalLink" Target="externalLinks/externalLink13.xml"/><Relationship Id="rId58" Type="http://schemas.openxmlformats.org/officeDocument/2006/relationships/externalLink" Target="externalLinks/externalLink18.xml"/><Relationship Id="rId66" Type="http://schemas.openxmlformats.org/officeDocument/2006/relationships/externalLink" Target="externalLinks/externalLink26.xml"/><Relationship Id="rId74" Type="http://schemas.openxmlformats.org/officeDocument/2006/relationships/externalLink" Target="externalLinks/externalLink34.xml"/><Relationship Id="rId79" Type="http://schemas.openxmlformats.org/officeDocument/2006/relationships/externalLink" Target="externalLinks/externalLink39.xml"/><Relationship Id="rId87"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externalLink" Target="externalLinks/externalLink21.xml"/><Relationship Id="rId82" Type="http://schemas.openxmlformats.org/officeDocument/2006/relationships/externalLink" Target="externalLinks/externalLink4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3.xml"/><Relationship Id="rId48" Type="http://schemas.openxmlformats.org/officeDocument/2006/relationships/externalLink" Target="externalLinks/externalLink8.xml"/><Relationship Id="rId56" Type="http://schemas.openxmlformats.org/officeDocument/2006/relationships/externalLink" Target="externalLinks/externalLink16.xml"/><Relationship Id="rId64" Type="http://schemas.openxmlformats.org/officeDocument/2006/relationships/externalLink" Target="externalLinks/externalLink24.xml"/><Relationship Id="rId69" Type="http://schemas.openxmlformats.org/officeDocument/2006/relationships/externalLink" Target="externalLinks/externalLink29.xml"/><Relationship Id="rId77" Type="http://schemas.openxmlformats.org/officeDocument/2006/relationships/externalLink" Target="externalLinks/externalLink37.xml"/><Relationship Id="rId8" Type="http://schemas.openxmlformats.org/officeDocument/2006/relationships/worksheet" Target="worksheets/sheet8.xml"/><Relationship Id="rId51" Type="http://schemas.openxmlformats.org/officeDocument/2006/relationships/externalLink" Target="externalLinks/externalLink11.xml"/><Relationship Id="rId72" Type="http://schemas.openxmlformats.org/officeDocument/2006/relationships/externalLink" Target="externalLinks/externalLink32.xml"/><Relationship Id="rId80" Type="http://schemas.openxmlformats.org/officeDocument/2006/relationships/externalLink" Target="externalLinks/externalLink40.xml"/><Relationship Id="rId85" Type="http://schemas.openxmlformats.org/officeDocument/2006/relationships/externalLink" Target="externalLinks/externalLink4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6.xml"/><Relationship Id="rId59" Type="http://schemas.openxmlformats.org/officeDocument/2006/relationships/externalLink" Target="externalLinks/externalLink19.xml"/><Relationship Id="rId67" Type="http://schemas.openxmlformats.org/officeDocument/2006/relationships/externalLink" Target="externalLinks/externalLink27.xml"/><Relationship Id="rId20" Type="http://schemas.openxmlformats.org/officeDocument/2006/relationships/worksheet" Target="worksheets/sheet20.xml"/><Relationship Id="rId41" Type="http://schemas.openxmlformats.org/officeDocument/2006/relationships/externalLink" Target="externalLinks/externalLink1.xml"/><Relationship Id="rId54" Type="http://schemas.openxmlformats.org/officeDocument/2006/relationships/externalLink" Target="externalLinks/externalLink14.xml"/><Relationship Id="rId62" Type="http://schemas.openxmlformats.org/officeDocument/2006/relationships/externalLink" Target="externalLinks/externalLink22.xml"/><Relationship Id="rId70" Type="http://schemas.openxmlformats.org/officeDocument/2006/relationships/externalLink" Target="externalLinks/externalLink30.xml"/><Relationship Id="rId75" Type="http://schemas.openxmlformats.org/officeDocument/2006/relationships/externalLink" Target="externalLinks/externalLink35.xml"/><Relationship Id="rId83" Type="http://schemas.openxmlformats.org/officeDocument/2006/relationships/externalLink" Target="externalLinks/externalLink43.xml"/><Relationship Id="rId88"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9.xml"/><Relationship Id="rId57" Type="http://schemas.openxmlformats.org/officeDocument/2006/relationships/externalLink" Target="externalLinks/externalLink1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4.xml"/><Relationship Id="rId52" Type="http://schemas.openxmlformats.org/officeDocument/2006/relationships/externalLink" Target="externalLinks/externalLink12.xml"/><Relationship Id="rId60" Type="http://schemas.openxmlformats.org/officeDocument/2006/relationships/externalLink" Target="externalLinks/externalLink20.xml"/><Relationship Id="rId65" Type="http://schemas.openxmlformats.org/officeDocument/2006/relationships/externalLink" Target="externalLinks/externalLink25.xml"/><Relationship Id="rId73" Type="http://schemas.openxmlformats.org/officeDocument/2006/relationships/externalLink" Target="externalLinks/externalLink33.xml"/><Relationship Id="rId78" Type="http://schemas.openxmlformats.org/officeDocument/2006/relationships/externalLink" Target="externalLinks/externalLink38.xml"/><Relationship Id="rId81" Type="http://schemas.openxmlformats.org/officeDocument/2006/relationships/externalLink" Target="externalLinks/externalLink41.xml"/><Relationship Id="rId86"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533400</xdr:colOff>
      <xdr:row>20</xdr:row>
      <xdr:rowOff>47625</xdr:rowOff>
    </xdr:from>
    <xdr:to>
      <xdr:col>6</xdr:col>
      <xdr:colOff>209550</xdr:colOff>
      <xdr:row>21</xdr:row>
      <xdr:rowOff>133350</xdr:rowOff>
    </xdr:to>
    <xdr:sp macro="" textlink="">
      <xdr:nvSpPr>
        <xdr:cNvPr id="24606" name="WordArt 1"/>
        <xdr:cNvSpPr>
          <a:spLocks noChangeArrowheads="1" noChangeShapeType="1" noTextEdit="1"/>
        </xdr:cNvSpPr>
      </xdr:nvSpPr>
      <xdr:spPr bwMode="auto">
        <a:xfrm>
          <a:off x="1752600" y="3467100"/>
          <a:ext cx="2114550" cy="247650"/>
        </a:xfrm>
        <a:prstGeom prst="rect">
          <a:avLst/>
        </a:prstGeom>
      </xdr:spPr>
      <xdr:txBody>
        <a:bodyPr vertOverflow="clip" wrap="none" lIns="91440" tIns="45720" rIns="91440" bIns="45720" fromWordArt="1" anchor="t" upright="1">
          <a:prstTxWarp prst="textPlain">
            <a:avLst>
              <a:gd name="adj" fmla="val 50000"/>
            </a:avLst>
          </a:prstTxWarp>
        </a:bodyPr>
        <a:lstStyle/>
        <a:p>
          <a:pPr algn="ctr" rtl="0"/>
          <a:endParaRPr lang="en-IN" sz="3600" u="sng" strike="sngStrike" kern="10" cap="small" spc="0">
            <a:ln w="9525">
              <a:solidFill>
                <a:srgbClr val="000000"/>
              </a:solidFill>
              <a:round/>
              <a:headEnd/>
              <a:tailEnd/>
            </a:ln>
            <a:solidFill>
              <a:srgbClr val="FFFFFF"/>
            </a:solidFill>
            <a:latin typeface="Arial Black"/>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99060</xdr:colOff>
      <xdr:row>1</xdr:row>
      <xdr:rowOff>0</xdr:rowOff>
    </xdr:from>
    <xdr:to>
      <xdr:col>15</xdr:col>
      <xdr:colOff>331597</xdr:colOff>
      <xdr:row>2</xdr:row>
      <xdr:rowOff>266700</xdr:rowOff>
    </xdr:to>
    <xdr:sp macro="" textlink="">
      <xdr:nvSpPr>
        <xdr:cNvPr id="2" name="PubHalfFrame">
          <a:extLst>
            <a:ext uri="{FF2B5EF4-FFF2-40B4-BE49-F238E27FC236}">
              <a16:creationId xmlns="" xmlns:a16="http://schemas.microsoft.com/office/drawing/2014/main" id="{00000000-0008-0000-0C00-0000D6B90000}"/>
            </a:ext>
          </a:extLst>
        </xdr:cNvPr>
        <xdr:cNvSpPr>
          <a:spLocks noEditPoints="1" noChangeArrowheads="1"/>
        </xdr:cNvSpPr>
      </xdr:nvSpPr>
      <xdr:spPr bwMode="auto">
        <a:xfrm rot="5400000">
          <a:off x="5087366" y="326644"/>
          <a:ext cx="590550" cy="584962"/>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headEnd/>
          <a:tailEnd/>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3" name="PubHalfFrame">
          <a:extLst>
            <a:ext uri="{FF2B5EF4-FFF2-40B4-BE49-F238E27FC236}">
              <a16:creationId xmlns="" xmlns:a16="http://schemas.microsoft.com/office/drawing/2014/main" id="{00000000-0008-0000-0C00-0000D7B90000}"/>
            </a:ext>
          </a:extLst>
        </xdr:cNvPr>
        <xdr:cNvSpPr>
          <a:spLocks noEditPoints="1" noChangeArrowheads="1"/>
        </xdr:cNvSpPr>
      </xdr:nvSpPr>
      <xdr:spPr bwMode="auto">
        <a:xfrm rot="5400000" flipV="1">
          <a:off x="278177" y="369523"/>
          <a:ext cx="590550" cy="499204"/>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headEnd/>
          <a:tailEnd/>
        </a:ln>
        <a:effectLst>
          <a:outerShdw dist="107763" dir="2700000" algn="ctr" rotWithShape="0">
            <a:srgbClr val="808080"/>
          </a:outerShdw>
        </a:effectLst>
      </xdr:spPr>
    </xdr:sp>
    <xdr:clientData/>
  </xdr:twoCellAnchor>
  <xdr:twoCellAnchor>
    <xdr:from>
      <xdr:col>14</xdr:col>
      <xdr:colOff>38100</xdr:colOff>
      <xdr:row>28</xdr:row>
      <xdr:rowOff>198120</xdr:rowOff>
    </xdr:from>
    <xdr:to>
      <xdr:col>15</xdr:col>
      <xdr:colOff>285832</xdr:colOff>
      <xdr:row>30</xdr:row>
      <xdr:rowOff>144780</xdr:rowOff>
    </xdr:to>
    <xdr:sp macro="" textlink="">
      <xdr:nvSpPr>
        <xdr:cNvPr id="4" name="PubHalfFrame">
          <a:extLst>
            <a:ext uri="{FF2B5EF4-FFF2-40B4-BE49-F238E27FC236}">
              <a16:creationId xmlns="" xmlns:a16="http://schemas.microsoft.com/office/drawing/2014/main" id="{00000000-0008-0000-0C00-0000D8B90000}"/>
            </a:ext>
          </a:extLst>
        </xdr:cNvPr>
        <xdr:cNvSpPr>
          <a:spLocks noEditPoints="1" noChangeArrowheads="1"/>
        </xdr:cNvSpPr>
      </xdr:nvSpPr>
      <xdr:spPr bwMode="auto">
        <a:xfrm rot="5400000" flipH="1">
          <a:off x="5032099" y="8072396"/>
          <a:ext cx="594360" cy="600157"/>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headEnd/>
          <a:tailEnd/>
        </a:ln>
        <a:effectLst>
          <a:outerShdw dist="107763" dir="2700000" algn="ctr" rotWithShape="0">
            <a:srgbClr val="808080"/>
          </a:outerShdw>
        </a:effectLst>
      </xdr:spPr>
    </xdr:sp>
    <xdr:clientData/>
  </xdr:twoCellAnchor>
  <xdr:twoCellAnchor>
    <xdr:from>
      <xdr:col>0</xdr:col>
      <xdr:colOff>323850</xdr:colOff>
      <xdr:row>29</xdr:row>
      <xdr:rowOff>0</xdr:rowOff>
    </xdr:from>
    <xdr:to>
      <xdr:col>2</xdr:col>
      <xdr:colOff>194404</xdr:colOff>
      <xdr:row>30</xdr:row>
      <xdr:rowOff>266700</xdr:rowOff>
    </xdr:to>
    <xdr:sp macro="" textlink="">
      <xdr:nvSpPr>
        <xdr:cNvPr id="5" name="PubHalfFrame">
          <a:extLst>
            <a:ext uri="{FF2B5EF4-FFF2-40B4-BE49-F238E27FC236}">
              <a16:creationId xmlns="" xmlns:a16="http://schemas.microsoft.com/office/drawing/2014/main" id="{00000000-0008-0000-0C00-0000D9B90000}"/>
            </a:ext>
          </a:extLst>
        </xdr:cNvPr>
        <xdr:cNvSpPr>
          <a:spLocks noEditPoints="1" noChangeArrowheads="1"/>
        </xdr:cNvSpPr>
      </xdr:nvSpPr>
      <xdr:spPr bwMode="auto">
        <a:xfrm rot="-5400000">
          <a:off x="278177" y="8246698"/>
          <a:ext cx="590550" cy="499204"/>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headEnd/>
          <a:tailEnd/>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31</xdr:row>
      <xdr:rowOff>142875</xdr:rowOff>
    </xdr:to>
    <xdr:sp macro="" textlink="">
      <xdr:nvSpPr>
        <xdr:cNvPr id="6" name="AutoShape 5">
          <a:extLst>
            <a:ext uri="{FF2B5EF4-FFF2-40B4-BE49-F238E27FC236}">
              <a16:creationId xmlns="" xmlns:a16="http://schemas.microsoft.com/office/drawing/2014/main" id="{00000000-0008-0000-0C00-000018BD0000}"/>
            </a:ext>
          </a:extLst>
        </xdr:cNvPr>
        <xdr:cNvSpPr>
          <a:spLocks noChangeArrowheads="1"/>
        </xdr:cNvSpPr>
      </xdr:nvSpPr>
      <xdr:spPr bwMode="auto">
        <a:xfrm>
          <a:off x="200025" y="190500"/>
          <a:ext cx="5648325" cy="8801100"/>
        </a:xfrm>
        <a:prstGeom prst="roundRect">
          <a:avLst>
            <a:gd name="adj" fmla="val 0"/>
          </a:avLst>
        </a:prstGeom>
        <a:noFill/>
        <a:ln w="44450">
          <a:solidFill>
            <a:srgbClr val="FF0000"/>
          </a:solidFill>
          <a:round/>
          <a:headEnd/>
          <a:tailEnd/>
        </a:ln>
      </xdr:spPr>
    </xdr:sp>
    <xdr:clientData/>
  </xdr:twoCellAnchor>
  <xdr:twoCellAnchor>
    <xdr:from>
      <xdr:col>0</xdr:col>
      <xdr:colOff>342900</xdr:colOff>
      <xdr:row>0</xdr:row>
      <xdr:rowOff>266700</xdr:rowOff>
    </xdr:from>
    <xdr:to>
      <xdr:col>16</xdr:col>
      <xdr:colOff>152400</xdr:colOff>
      <xdr:row>31</xdr:row>
      <xdr:rowOff>66675</xdr:rowOff>
    </xdr:to>
    <xdr:sp macro="" textlink="">
      <xdr:nvSpPr>
        <xdr:cNvPr id="7" name="AutoShape 6">
          <a:extLst>
            <a:ext uri="{FF2B5EF4-FFF2-40B4-BE49-F238E27FC236}">
              <a16:creationId xmlns="" xmlns:a16="http://schemas.microsoft.com/office/drawing/2014/main" id="{00000000-0008-0000-0C00-000019BD0000}"/>
            </a:ext>
          </a:extLst>
        </xdr:cNvPr>
        <xdr:cNvSpPr>
          <a:spLocks noChangeArrowheads="1"/>
        </xdr:cNvSpPr>
      </xdr:nvSpPr>
      <xdr:spPr bwMode="auto">
        <a:xfrm>
          <a:off x="333375" y="266700"/>
          <a:ext cx="5514975" cy="8648700"/>
        </a:xfrm>
        <a:prstGeom prst="roundRect">
          <a:avLst>
            <a:gd name="adj" fmla="val 0"/>
          </a:avLst>
        </a:prstGeom>
        <a:noFill/>
        <a:ln w="28575">
          <a:solidFill>
            <a:srgbClr val="0000FF"/>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66675</xdr:colOff>
      <xdr:row>10</xdr:row>
      <xdr:rowOff>76200</xdr:rowOff>
    </xdr:from>
    <xdr:ext cx="66675" cy="66675"/>
    <xdr:sp macro="" textlink="">
      <xdr:nvSpPr>
        <xdr:cNvPr id="2" name="Chevron 1">
          <a:extLst>
            <a:ext uri="{FF2B5EF4-FFF2-40B4-BE49-F238E27FC236}"/>
          </a:extLst>
        </xdr:cNvPr>
        <xdr:cNvSpPr/>
      </xdr:nvSpPr>
      <xdr:spPr>
        <a:xfrm>
          <a:off x="371475" y="3257550"/>
          <a:ext cx="66675" cy="66675"/>
        </a:xfrm>
        <a:prstGeom prst="chevron">
          <a:avLst/>
        </a:prstGeom>
        <a:solidFill>
          <a:schemeClr val="accent1"/>
        </a:solidFill>
        <a:ln w="25400" cap="flat" cmpd="sng" algn="ctr">
          <a:solidFill>
            <a:schemeClr val="accent1">
              <a:shade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lvl="0">
            <a:defRPr lang="en-US">
              <a:solidFill>
                <a:schemeClr val="lt1"/>
              </a:solidFill>
            </a:defRPr>
          </a:defPPr>
          <a:lvl1pPr marL="0" lvl="0" algn="l" defTabSz="914400" rtl="0" eaLnBrk="1" latinLnBrk="0" hangingPunct="1">
            <a:defRPr sz="1100">
              <a:solidFill>
                <a:schemeClr val="lt1"/>
              </a:solidFill>
              <a:latin typeface="+mn-lt"/>
              <a:ea typeface="+mn-ea"/>
              <a:cs typeface="+mn-cs"/>
            </a:defRPr>
          </a:lvl1pPr>
          <a:lvl2pPr marL="457200" lvl="1" algn="l" defTabSz="914400" rtl="0" eaLnBrk="1" latinLnBrk="0" hangingPunct="1">
            <a:defRPr sz="1100">
              <a:solidFill>
                <a:schemeClr val="lt1"/>
              </a:solidFill>
              <a:latin typeface="+mn-lt"/>
              <a:ea typeface="+mn-ea"/>
              <a:cs typeface="+mn-cs"/>
            </a:defRPr>
          </a:lvl2pPr>
          <a:lvl3pPr marL="914400" lvl="2" algn="l" defTabSz="914400" rtl="0" eaLnBrk="1" latinLnBrk="0" hangingPunct="1">
            <a:defRPr sz="1100">
              <a:solidFill>
                <a:schemeClr val="lt1"/>
              </a:solidFill>
              <a:latin typeface="+mn-lt"/>
              <a:ea typeface="+mn-ea"/>
              <a:cs typeface="+mn-cs"/>
            </a:defRPr>
          </a:lvl3pPr>
          <a:lvl4pPr marL="1371600" lvl="3" algn="l" defTabSz="914400" rtl="0" eaLnBrk="1" latinLnBrk="0" hangingPunct="1">
            <a:defRPr sz="1100">
              <a:solidFill>
                <a:schemeClr val="lt1"/>
              </a:solidFill>
              <a:latin typeface="+mn-lt"/>
              <a:ea typeface="+mn-ea"/>
              <a:cs typeface="+mn-cs"/>
            </a:defRPr>
          </a:lvl4pPr>
          <a:lvl5pPr marL="1828800" lvl="4" algn="l" defTabSz="914400" rtl="0" eaLnBrk="1" latinLnBrk="0" hangingPunct="1">
            <a:defRPr sz="1100">
              <a:solidFill>
                <a:schemeClr val="lt1"/>
              </a:solidFill>
              <a:latin typeface="+mn-lt"/>
              <a:ea typeface="+mn-ea"/>
              <a:cs typeface="+mn-cs"/>
            </a:defRPr>
          </a:lvl5pPr>
          <a:lvl6pPr marL="2286000" lvl="5" algn="l" defTabSz="914400" rtl="0" eaLnBrk="1" latinLnBrk="0" hangingPunct="1">
            <a:defRPr sz="1100">
              <a:solidFill>
                <a:schemeClr val="lt1"/>
              </a:solidFill>
              <a:latin typeface="+mn-lt"/>
              <a:ea typeface="+mn-ea"/>
              <a:cs typeface="+mn-cs"/>
            </a:defRPr>
          </a:lvl6pPr>
          <a:lvl7pPr marL="2743200" lvl="6" algn="l" defTabSz="914400" rtl="0" eaLnBrk="1" latinLnBrk="0" hangingPunct="1">
            <a:defRPr sz="1100">
              <a:solidFill>
                <a:schemeClr val="lt1"/>
              </a:solidFill>
              <a:latin typeface="+mn-lt"/>
              <a:ea typeface="+mn-ea"/>
              <a:cs typeface="+mn-cs"/>
            </a:defRPr>
          </a:lvl7pPr>
          <a:lvl8pPr marL="3200400" lvl="7" algn="l" defTabSz="914400" rtl="0" eaLnBrk="1" latinLnBrk="0" hangingPunct="1">
            <a:defRPr sz="1100">
              <a:solidFill>
                <a:schemeClr val="lt1"/>
              </a:solidFill>
              <a:latin typeface="+mn-lt"/>
              <a:ea typeface="+mn-ea"/>
              <a:cs typeface="+mn-cs"/>
            </a:defRPr>
          </a:lvl8pPr>
          <a:lvl9pPr marL="3657600" lvl="8" algn="l" defTabSz="914400" rtl="0" eaLnBrk="1" latinLnBrk="0" hangingPunct="1">
            <a:defRPr sz="1100">
              <a:solidFill>
                <a:schemeClr val="lt1"/>
              </a:solidFill>
              <a:latin typeface="+mn-lt"/>
              <a:ea typeface="+mn-ea"/>
              <a:cs typeface="+mn-cs"/>
            </a:defRPr>
          </a:lvl9pPr>
        </a:lstStyle>
        <a:p>
          <a:pPr lvl="0" algn="ctr"/>
          <a:endParaRPr lang="en-IN" sz="1100">
            <a:solidFill>
              <a:schemeClr val="tx1"/>
            </a:solidFill>
          </a:endParaRPr>
        </a:p>
      </xdr:txBody>
    </xdr:sp>
    <xdr:clientData fLocksWithSheet="0"/>
  </xdr:oneCellAnchor>
  <xdr:oneCellAnchor>
    <xdr:from>
      <xdr:col>1</xdr:col>
      <xdr:colOff>57150</xdr:colOff>
      <xdr:row>11</xdr:row>
      <xdr:rowOff>57150</xdr:rowOff>
    </xdr:from>
    <xdr:ext cx="66675" cy="66675"/>
    <xdr:sp macro="" textlink="">
      <xdr:nvSpPr>
        <xdr:cNvPr id="3" name="Chevron 2">
          <a:extLst>
            <a:ext uri="{FF2B5EF4-FFF2-40B4-BE49-F238E27FC236}"/>
          </a:extLst>
        </xdr:cNvPr>
        <xdr:cNvSpPr/>
      </xdr:nvSpPr>
      <xdr:spPr>
        <a:xfrm>
          <a:off x="361950" y="4029075"/>
          <a:ext cx="66675" cy="66675"/>
        </a:xfrm>
        <a:prstGeom prst="chevron">
          <a:avLst/>
        </a:prstGeom>
        <a:solidFill>
          <a:schemeClr val="accent1"/>
        </a:solidFill>
        <a:ln w="25400" cap="flat" cmpd="sng" algn="ctr">
          <a:solidFill>
            <a:schemeClr val="accent1">
              <a:shade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lvl="0">
            <a:defRPr lang="en-US">
              <a:solidFill>
                <a:schemeClr val="lt1"/>
              </a:solidFill>
            </a:defRPr>
          </a:defPPr>
          <a:lvl1pPr marL="0" lvl="0" algn="l" defTabSz="914400" rtl="0" eaLnBrk="1" latinLnBrk="0" hangingPunct="1">
            <a:defRPr sz="1100">
              <a:solidFill>
                <a:schemeClr val="lt1"/>
              </a:solidFill>
              <a:latin typeface="+mn-lt"/>
              <a:ea typeface="+mn-ea"/>
              <a:cs typeface="+mn-cs"/>
            </a:defRPr>
          </a:lvl1pPr>
          <a:lvl2pPr marL="457200" lvl="1" algn="l" defTabSz="914400" rtl="0" eaLnBrk="1" latinLnBrk="0" hangingPunct="1">
            <a:defRPr sz="1100">
              <a:solidFill>
                <a:schemeClr val="lt1"/>
              </a:solidFill>
              <a:latin typeface="+mn-lt"/>
              <a:ea typeface="+mn-ea"/>
              <a:cs typeface="+mn-cs"/>
            </a:defRPr>
          </a:lvl2pPr>
          <a:lvl3pPr marL="914400" lvl="2" algn="l" defTabSz="914400" rtl="0" eaLnBrk="1" latinLnBrk="0" hangingPunct="1">
            <a:defRPr sz="1100">
              <a:solidFill>
                <a:schemeClr val="lt1"/>
              </a:solidFill>
              <a:latin typeface="+mn-lt"/>
              <a:ea typeface="+mn-ea"/>
              <a:cs typeface="+mn-cs"/>
            </a:defRPr>
          </a:lvl3pPr>
          <a:lvl4pPr marL="1371600" lvl="3" algn="l" defTabSz="914400" rtl="0" eaLnBrk="1" latinLnBrk="0" hangingPunct="1">
            <a:defRPr sz="1100">
              <a:solidFill>
                <a:schemeClr val="lt1"/>
              </a:solidFill>
              <a:latin typeface="+mn-lt"/>
              <a:ea typeface="+mn-ea"/>
              <a:cs typeface="+mn-cs"/>
            </a:defRPr>
          </a:lvl4pPr>
          <a:lvl5pPr marL="1828800" lvl="4" algn="l" defTabSz="914400" rtl="0" eaLnBrk="1" latinLnBrk="0" hangingPunct="1">
            <a:defRPr sz="1100">
              <a:solidFill>
                <a:schemeClr val="lt1"/>
              </a:solidFill>
              <a:latin typeface="+mn-lt"/>
              <a:ea typeface="+mn-ea"/>
              <a:cs typeface="+mn-cs"/>
            </a:defRPr>
          </a:lvl5pPr>
          <a:lvl6pPr marL="2286000" lvl="5" algn="l" defTabSz="914400" rtl="0" eaLnBrk="1" latinLnBrk="0" hangingPunct="1">
            <a:defRPr sz="1100">
              <a:solidFill>
                <a:schemeClr val="lt1"/>
              </a:solidFill>
              <a:latin typeface="+mn-lt"/>
              <a:ea typeface="+mn-ea"/>
              <a:cs typeface="+mn-cs"/>
            </a:defRPr>
          </a:lvl6pPr>
          <a:lvl7pPr marL="2743200" lvl="6" algn="l" defTabSz="914400" rtl="0" eaLnBrk="1" latinLnBrk="0" hangingPunct="1">
            <a:defRPr sz="1100">
              <a:solidFill>
                <a:schemeClr val="lt1"/>
              </a:solidFill>
              <a:latin typeface="+mn-lt"/>
              <a:ea typeface="+mn-ea"/>
              <a:cs typeface="+mn-cs"/>
            </a:defRPr>
          </a:lvl7pPr>
          <a:lvl8pPr marL="3200400" lvl="7" algn="l" defTabSz="914400" rtl="0" eaLnBrk="1" latinLnBrk="0" hangingPunct="1">
            <a:defRPr sz="1100">
              <a:solidFill>
                <a:schemeClr val="lt1"/>
              </a:solidFill>
              <a:latin typeface="+mn-lt"/>
              <a:ea typeface="+mn-ea"/>
              <a:cs typeface="+mn-cs"/>
            </a:defRPr>
          </a:lvl8pPr>
          <a:lvl9pPr marL="3657600" lvl="8" algn="l" defTabSz="914400" rtl="0" eaLnBrk="1" latinLnBrk="0" hangingPunct="1">
            <a:defRPr sz="1100">
              <a:solidFill>
                <a:schemeClr val="lt1"/>
              </a:solidFill>
              <a:latin typeface="+mn-lt"/>
              <a:ea typeface="+mn-ea"/>
              <a:cs typeface="+mn-cs"/>
            </a:defRPr>
          </a:lvl9pPr>
        </a:lstStyle>
        <a:p>
          <a:pPr lvl="0" algn="ctr"/>
          <a:endParaRPr lang="en-IN" sz="1100">
            <a:solidFill>
              <a:schemeClr val="tx1"/>
            </a:solidFill>
          </a:endParaRPr>
        </a:p>
      </xdr:txBody>
    </xdr:sp>
    <xdr:clientData fLocksWithSheet="0"/>
  </xdr:oneCellAnchor>
  <xdr:oneCellAnchor>
    <xdr:from>
      <xdr:col>1</xdr:col>
      <xdr:colOff>66675</xdr:colOff>
      <xdr:row>12</xdr:row>
      <xdr:rowOff>66675</xdr:rowOff>
    </xdr:from>
    <xdr:ext cx="66675" cy="66675"/>
    <xdr:sp macro="" textlink="">
      <xdr:nvSpPr>
        <xdr:cNvPr id="4" name="Chevron 3">
          <a:extLst>
            <a:ext uri="{FF2B5EF4-FFF2-40B4-BE49-F238E27FC236}"/>
          </a:extLst>
        </xdr:cNvPr>
        <xdr:cNvSpPr/>
      </xdr:nvSpPr>
      <xdr:spPr>
        <a:xfrm>
          <a:off x="371475" y="4438650"/>
          <a:ext cx="66675" cy="66675"/>
        </a:xfrm>
        <a:prstGeom prst="chevron">
          <a:avLst/>
        </a:prstGeom>
        <a:solidFill>
          <a:schemeClr val="accent1"/>
        </a:solidFill>
        <a:ln w="25400" cap="flat" cmpd="sng" algn="ctr">
          <a:solidFill>
            <a:schemeClr val="accent1">
              <a:shade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lvl="0">
            <a:defRPr lang="en-US">
              <a:solidFill>
                <a:schemeClr val="lt1"/>
              </a:solidFill>
            </a:defRPr>
          </a:defPPr>
          <a:lvl1pPr marL="0" lvl="0" algn="l" defTabSz="914400" rtl="0" eaLnBrk="1" latinLnBrk="0" hangingPunct="1">
            <a:defRPr sz="1100">
              <a:solidFill>
                <a:schemeClr val="lt1"/>
              </a:solidFill>
              <a:latin typeface="+mn-lt"/>
              <a:ea typeface="+mn-ea"/>
              <a:cs typeface="+mn-cs"/>
            </a:defRPr>
          </a:lvl1pPr>
          <a:lvl2pPr marL="457200" lvl="1" algn="l" defTabSz="914400" rtl="0" eaLnBrk="1" latinLnBrk="0" hangingPunct="1">
            <a:defRPr sz="1100">
              <a:solidFill>
                <a:schemeClr val="lt1"/>
              </a:solidFill>
              <a:latin typeface="+mn-lt"/>
              <a:ea typeface="+mn-ea"/>
              <a:cs typeface="+mn-cs"/>
            </a:defRPr>
          </a:lvl2pPr>
          <a:lvl3pPr marL="914400" lvl="2" algn="l" defTabSz="914400" rtl="0" eaLnBrk="1" latinLnBrk="0" hangingPunct="1">
            <a:defRPr sz="1100">
              <a:solidFill>
                <a:schemeClr val="lt1"/>
              </a:solidFill>
              <a:latin typeface="+mn-lt"/>
              <a:ea typeface="+mn-ea"/>
              <a:cs typeface="+mn-cs"/>
            </a:defRPr>
          </a:lvl3pPr>
          <a:lvl4pPr marL="1371600" lvl="3" algn="l" defTabSz="914400" rtl="0" eaLnBrk="1" latinLnBrk="0" hangingPunct="1">
            <a:defRPr sz="1100">
              <a:solidFill>
                <a:schemeClr val="lt1"/>
              </a:solidFill>
              <a:latin typeface="+mn-lt"/>
              <a:ea typeface="+mn-ea"/>
              <a:cs typeface="+mn-cs"/>
            </a:defRPr>
          </a:lvl4pPr>
          <a:lvl5pPr marL="1828800" lvl="4" algn="l" defTabSz="914400" rtl="0" eaLnBrk="1" latinLnBrk="0" hangingPunct="1">
            <a:defRPr sz="1100">
              <a:solidFill>
                <a:schemeClr val="lt1"/>
              </a:solidFill>
              <a:latin typeface="+mn-lt"/>
              <a:ea typeface="+mn-ea"/>
              <a:cs typeface="+mn-cs"/>
            </a:defRPr>
          </a:lvl5pPr>
          <a:lvl6pPr marL="2286000" lvl="5" algn="l" defTabSz="914400" rtl="0" eaLnBrk="1" latinLnBrk="0" hangingPunct="1">
            <a:defRPr sz="1100">
              <a:solidFill>
                <a:schemeClr val="lt1"/>
              </a:solidFill>
              <a:latin typeface="+mn-lt"/>
              <a:ea typeface="+mn-ea"/>
              <a:cs typeface="+mn-cs"/>
            </a:defRPr>
          </a:lvl6pPr>
          <a:lvl7pPr marL="2743200" lvl="6" algn="l" defTabSz="914400" rtl="0" eaLnBrk="1" latinLnBrk="0" hangingPunct="1">
            <a:defRPr sz="1100">
              <a:solidFill>
                <a:schemeClr val="lt1"/>
              </a:solidFill>
              <a:latin typeface="+mn-lt"/>
              <a:ea typeface="+mn-ea"/>
              <a:cs typeface="+mn-cs"/>
            </a:defRPr>
          </a:lvl7pPr>
          <a:lvl8pPr marL="3200400" lvl="7" algn="l" defTabSz="914400" rtl="0" eaLnBrk="1" latinLnBrk="0" hangingPunct="1">
            <a:defRPr sz="1100">
              <a:solidFill>
                <a:schemeClr val="lt1"/>
              </a:solidFill>
              <a:latin typeface="+mn-lt"/>
              <a:ea typeface="+mn-ea"/>
              <a:cs typeface="+mn-cs"/>
            </a:defRPr>
          </a:lvl8pPr>
          <a:lvl9pPr marL="3657600" lvl="8" algn="l" defTabSz="914400" rtl="0" eaLnBrk="1" latinLnBrk="0" hangingPunct="1">
            <a:defRPr sz="1100">
              <a:solidFill>
                <a:schemeClr val="lt1"/>
              </a:solidFill>
              <a:latin typeface="+mn-lt"/>
              <a:ea typeface="+mn-ea"/>
              <a:cs typeface="+mn-cs"/>
            </a:defRPr>
          </a:lvl9pPr>
        </a:lstStyle>
        <a:p>
          <a:pPr lvl="0" algn="ctr"/>
          <a:endParaRPr lang="en-IN" sz="1100">
            <a:solidFill>
              <a:schemeClr val="tx1"/>
            </a:solidFill>
          </a:endParaRPr>
        </a:p>
      </xdr:txBody>
    </xdr:sp>
    <xdr:clientData fLocksWithSheet="0"/>
  </xdr:oneCellAnchor>
  <xdr:oneCellAnchor>
    <xdr:from>
      <xdr:col>1</xdr:col>
      <xdr:colOff>76200</xdr:colOff>
      <xdr:row>14</xdr:row>
      <xdr:rowOff>66675</xdr:rowOff>
    </xdr:from>
    <xdr:ext cx="57150" cy="66675"/>
    <xdr:sp macro="" textlink="">
      <xdr:nvSpPr>
        <xdr:cNvPr id="6" name="Chevron 5">
          <a:extLst>
            <a:ext uri="{FF2B5EF4-FFF2-40B4-BE49-F238E27FC236}"/>
          </a:extLst>
        </xdr:cNvPr>
        <xdr:cNvSpPr/>
      </xdr:nvSpPr>
      <xdr:spPr>
        <a:xfrm>
          <a:off x="381000" y="4838700"/>
          <a:ext cx="57150" cy="66675"/>
        </a:xfrm>
        <a:prstGeom prst="chevron">
          <a:avLst/>
        </a:prstGeom>
        <a:solidFill>
          <a:schemeClr val="accent1"/>
        </a:solidFill>
        <a:ln w="25400" cap="flat" cmpd="sng" algn="ctr">
          <a:solidFill>
            <a:schemeClr val="accent1">
              <a:shade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lvl="0">
            <a:defRPr lang="en-US">
              <a:solidFill>
                <a:schemeClr val="lt1"/>
              </a:solidFill>
            </a:defRPr>
          </a:defPPr>
          <a:lvl1pPr marL="0" lvl="0" algn="l" defTabSz="914400" rtl="0" eaLnBrk="1" latinLnBrk="0" hangingPunct="1">
            <a:defRPr sz="1100">
              <a:solidFill>
                <a:schemeClr val="lt1"/>
              </a:solidFill>
              <a:latin typeface="+mn-lt"/>
              <a:ea typeface="+mn-ea"/>
              <a:cs typeface="+mn-cs"/>
            </a:defRPr>
          </a:lvl1pPr>
          <a:lvl2pPr marL="457200" lvl="1" algn="l" defTabSz="914400" rtl="0" eaLnBrk="1" latinLnBrk="0" hangingPunct="1">
            <a:defRPr sz="1100">
              <a:solidFill>
                <a:schemeClr val="lt1"/>
              </a:solidFill>
              <a:latin typeface="+mn-lt"/>
              <a:ea typeface="+mn-ea"/>
              <a:cs typeface="+mn-cs"/>
            </a:defRPr>
          </a:lvl2pPr>
          <a:lvl3pPr marL="914400" lvl="2" algn="l" defTabSz="914400" rtl="0" eaLnBrk="1" latinLnBrk="0" hangingPunct="1">
            <a:defRPr sz="1100">
              <a:solidFill>
                <a:schemeClr val="lt1"/>
              </a:solidFill>
              <a:latin typeface="+mn-lt"/>
              <a:ea typeface="+mn-ea"/>
              <a:cs typeface="+mn-cs"/>
            </a:defRPr>
          </a:lvl3pPr>
          <a:lvl4pPr marL="1371600" lvl="3" algn="l" defTabSz="914400" rtl="0" eaLnBrk="1" latinLnBrk="0" hangingPunct="1">
            <a:defRPr sz="1100">
              <a:solidFill>
                <a:schemeClr val="lt1"/>
              </a:solidFill>
              <a:latin typeface="+mn-lt"/>
              <a:ea typeface="+mn-ea"/>
              <a:cs typeface="+mn-cs"/>
            </a:defRPr>
          </a:lvl4pPr>
          <a:lvl5pPr marL="1828800" lvl="4" algn="l" defTabSz="914400" rtl="0" eaLnBrk="1" latinLnBrk="0" hangingPunct="1">
            <a:defRPr sz="1100">
              <a:solidFill>
                <a:schemeClr val="lt1"/>
              </a:solidFill>
              <a:latin typeface="+mn-lt"/>
              <a:ea typeface="+mn-ea"/>
              <a:cs typeface="+mn-cs"/>
            </a:defRPr>
          </a:lvl5pPr>
          <a:lvl6pPr marL="2286000" lvl="5" algn="l" defTabSz="914400" rtl="0" eaLnBrk="1" latinLnBrk="0" hangingPunct="1">
            <a:defRPr sz="1100">
              <a:solidFill>
                <a:schemeClr val="lt1"/>
              </a:solidFill>
              <a:latin typeface="+mn-lt"/>
              <a:ea typeface="+mn-ea"/>
              <a:cs typeface="+mn-cs"/>
            </a:defRPr>
          </a:lvl6pPr>
          <a:lvl7pPr marL="2743200" lvl="6" algn="l" defTabSz="914400" rtl="0" eaLnBrk="1" latinLnBrk="0" hangingPunct="1">
            <a:defRPr sz="1100">
              <a:solidFill>
                <a:schemeClr val="lt1"/>
              </a:solidFill>
              <a:latin typeface="+mn-lt"/>
              <a:ea typeface="+mn-ea"/>
              <a:cs typeface="+mn-cs"/>
            </a:defRPr>
          </a:lvl7pPr>
          <a:lvl8pPr marL="3200400" lvl="7" algn="l" defTabSz="914400" rtl="0" eaLnBrk="1" latinLnBrk="0" hangingPunct="1">
            <a:defRPr sz="1100">
              <a:solidFill>
                <a:schemeClr val="lt1"/>
              </a:solidFill>
              <a:latin typeface="+mn-lt"/>
              <a:ea typeface="+mn-ea"/>
              <a:cs typeface="+mn-cs"/>
            </a:defRPr>
          </a:lvl8pPr>
          <a:lvl9pPr marL="3657600" lvl="8" algn="l" defTabSz="914400" rtl="0" eaLnBrk="1" latinLnBrk="0" hangingPunct="1">
            <a:defRPr sz="1100">
              <a:solidFill>
                <a:schemeClr val="lt1"/>
              </a:solidFill>
              <a:latin typeface="+mn-lt"/>
              <a:ea typeface="+mn-ea"/>
              <a:cs typeface="+mn-cs"/>
            </a:defRPr>
          </a:lvl9pPr>
        </a:lstStyle>
        <a:p>
          <a:pPr lvl="0" algn="ctr"/>
          <a:endParaRPr lang="en-IN" sz="1100">
            <a:solidFill>
              <a:schemeClr val="tx1"/>
            </a:solidFill>
          </a:endParaRPr>
        </a:p>
      </xdr:txBody>
    </xdr:sp>
    <xdr:clientData fLocksWithSheet="0"/>
  </xdr:oneCellAnchor>
  <xdr:oneCellAnchor>
    <xdr:from>
      <xdr:col>1</xdr:col>
      <xdr:colOff>76200</xdr:colOff>
      <xdr:row>15</xdr:row>
      <xdr:rowOff>66675</xdr:rowOff>
    </xdr:from>
    <xdr:ext cx="57150" cy="66675"/>
    <xdr:sp macro="" textlink="">
      <xdr:nvSpPr>
        <xdr:cNvPr id="7" name="Chevron 6">
          <a:extLst>
            <a:ext uri="{FF2B5EF4-FFF2-40B4-BE49-F238E27FC236}"/>
          </a:extLst>
        </xdr:cNvPr>
        <xdr:cNvSpPr/>
      </xdr:nvSpPr>
      <xdr:spPr>
        <a:xfrm>
          <a:off x="381000" y="5343525"/>
          <a:ext cx="57150" cy="66675"/>
        </a:xfrm>
        <a:prstGeom prst="chevron">
          <a:avLst/>
        </a:prstGeom>
        <a:solidFill>
          <a:schemeClr val="accent1"/>
        </a:solidFill>
        <a:ln w="25400" cap="flat" cmpd="sng" algn="ctr">
          <a:solidFill>
            <a:schemeClr val="accent1">
              <a:shade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lvl="0">
            <a:defRPr lang="en-US">
              <a:solidFill>
                <a:schemeClr val="lt1"/>
              </a:solidFill>
            </a:defRPr>
          </a:defPPr>
          <a:lvl1pPr marL="0" lvl="0" algn="l" defTabSz="914400" rtl="0" eaLnBrk="1" latinLnBrk="0" hangingPunct="1">
            <a:defRPr sz="1100">
              <a:solidFill>
                <a:schemeClr val="lt1"/>
              </a:solidFill>
              <a:latin typeface="+mn-lt"/>
              <a:ea typeface="+mn-ea"/>
              <a:cs typeface="+mn-cs"/>
            </a:defRPr>
          </a:lvl1pPr>
          <a:lvl2pPr marL="457200" lvl="1" algn="l" defTabSz="914400" rtl="0" eaLnBrk="1" latinLnBrk="0" hangingPunct="1">
            <a:defRPr sz="1100">
              <a:solidFill>
                <a:schemeClr val="lt1"/>
              </a:solidFill>
              <a:latin typeface="+mn-lt"/>
              <a:ea typeface="+mn-ea"/>
              <a:cs typeface="+mn-cs"/>
            </a:defRPr>
          </a:lvl2pPr>
          <a:lvl3pPr marL="914400" lvl="2" algn="l" defTabSz="914400" rtl="0" eaLnBrk="1" latinLnBrk="0" hangingPunct="1">
            <a:defRPr sz="1100">
              <a:solidFill>
                <a:schemeClr val="lt1"/>
              </a:solidFill>
              <a:latin typeface="+mn-lt"/>
              <a:ea typeface="+mn-ea"/>
              <a:cs typeface="+mn-cs"/>
            </a:defRPr>
          </a:lvl3pPr>
          <a:lvl4pPr marL="1371600" lvl="3" algn="l" defTabSz="914400" rtl="0" eaLnBrk="1" latinLnBrk="0" hangingPunct="1">
            <a:defRPr sz="1100">
              <a:solidFill>
                <a:schemeClr val="lt1"/>
              </a:solidFill>
              <a:latin typeface="+mn-lt"/>
              <a:ea typeface="+mn-ea"/>
              <a:cs typeface="+mn-cs"/>
            </a:defRPr>
          </a:lvl4pPr>
          <a:lvl5pPr marL="1828800" lvl="4" algn="l" defTabSz="914400" rtl="0" eaLnBrk="1" latinLnBrk="0" hangingPunct="1">
            <a:defRPr sz="1100">
              <a:solidFill>
                <a:schemeClr val="lt1"/>
              </a:solidFill>
              <a:latin typeface="+mn-lt"/>
              <a:ea typeface="+mn-ea"/>
              <a:cs typeface="+mn-cs"/>
            </a:defRPr>
          </a:lvl5pPr>
          <a:lvl6pPr marL="2286000" lvl="5" algn="l" defTabSz="914400" rtl="0" eaLnBrk="1" latinLnBrk="0" hangingPunct="1">
            <a:defRPr sz="1100">
              <a:solidFill>
                <a:schemeClr val="lt1"/>
              </a:solidFill>
              <a:latin typeface="+mn-lt"/>
              <a:ea typeface="+mn-ea"/>
              <a:cs typeface="+mn-cs"/>
            </a:defRPr>
          </a:lvl6pPr>
          <a:lvl7pPr marL="2743200" lvl="6" algn="l" defTabSz="914400" rtl="0" eaLnBrk="1" latinLnBrk="0" hangingPunct="1">
            <a:defRPr sz="1100">
              <a:solidFill>
                <a:schemeClr val="lt1"/>
              </a:solidFill>
              <a:latin typeface="+mn-lt"/>
              <a:ea typeface="+mn-ea"/>
              <a:cs typeface="+mn-cs"/>
            </a:defRPr>
          </a:lvl7pPr>
          <a:lvl8pPr marL="3200400" lvl="7" algn="l" defTabSz="914400" rtl="0" eaLnBrk="1" latinLnBrk="0" hangingPunct="1">
            <a:defRPr sz="1100">
              <a:solidFill>
                <a:schemeClr val="lt1"/>
              </a:solidFill>
              <a:latin typeface="+mn-lt"/>
              <a:ea typeface="+mn-ea"/>
              <a:cs typeface="+mn-cs"/>
            </a:defRPr>
          </a:lvl8pPr>
          <a:lvl9pPr marL="3657600" lvl="8" algn="l" defTabSz="914400" rtl="0" eaLnBrk="1" latinLnBrk="0" hangingPunct="1">
            <a:defRPr sz="1100">
              <a:solidFill>
                <a:schemeClr val="lt1"/>
              </a:solidFill>
              <a:latin typeface="+mn-lt"/>
              <a:ea typeface="+mn-ea"/>
              <a:cs typeface="+mn-cs"/>
            </a:defRPr>
          </a:lvl9pPr>
        </a:lstStyle>
        <a:p>
          <a:pPr lvl="0" algn="ctr"/>
          <a:endParaRPr lang="en-IN" sz="1100">
            <a:solidFill>
              <a:schemeClr val="tx1"/>
            </a:solidFill>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twoCellAnchor>
    <xdr:from>
      <xdr:col>0</xdr:col>
      <xdr:colOff>105103</xdr:colOff>
      <xdr:row>26</xdr:row>
      <xdr:rowOff>0</xdr:rowOff>
    </xdr:from>
    <xdr:to>
      <xdr:col>46</xdr:col>
      <xdr:colOff>26276</xdr:colOff>
      <xdr:row>26</xdr:row>
      <xdr:rowOff>6569</xdr:rowOff>
    </xdr:to>
    <xdr:cxnSp macro="">
      <xdr:nvCxnSpPr>
        <xdr:cNvPr id="3" name="Straight Connector 2"/>
        <xdr:cNvCxnSpPr/>
      </xdr:nvCxnSpPr>
      <xdr:spPr>
        <a:xfrm flipV="1">
          <a:off x="105103" y="1156138"/>
          <a:ext cx="7777656" cy="6569"/>
        </a:xfrm>
        <a:prstGeom prst="line">
          <a:avLst/>
        </a:prstGeom>
        <a:ln w="571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164225</xdr:colOff>
      <xdr:row>26</xdr:row>
      <xdr:rowOff>39415</xdr:rowOff>
    </xdr:from>
    <xdr:to>
      <xdr:col>1</xdr:col>
      <xdr:colOff>72260</xdr:colOff>
      <xdr:row>26</xdr:row>
      <xdr:rowOff>157656</xdr:rowOff>
    </xdr:to>
    <xdr:cxnSp macro="">
      <xdr:nvCxnSpPr>
        <xdr:cNvPr id="5" name="Straight Connector 4"/>
        <xdr:cNvCxnSpPr/>
      </xdr:nvCxnSpPr>
      <xdr:spPr>
        <a:xfrm rot="5400000">
          <a:off x="144518" y="1215260"/>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53867</xdr:colOff>
      <xdr:row>26</xdr:row>
      <xdr:rowOff>47298</xdr:rowOff>
    </xdr:from>
    <xdr:to>
      <xdr:col>1</xdr:col>
      <xdr:colOff>132695</xdr:colOff>
      <xdr:row>27</xdr:row>
      <xdr:rowOff>1315</xdr:rowOff>
    </xdr:to>
    <xdr:cxnSp macro="">
      <xdr:nvCxnSpPr>
        <xdr:cNvPr id="6" name="Straight Connector 5"/>
        <xdr:cNvCxnSpPr/>
      </xdr:nvCxnSpPr>
      <xdr:spPr>
        <a:xfrm rot="5400000">
          <a:off x="204953" y="1223143"/>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126125</xdr:colOff>
      <xdr:row>26</xdr:row>
      <xdr:rowOff>40729</xdr:rowOff>
    </xdr:from>
    <xdr:to>
      <xdr:col>2</xdr:col>
      <xdr:colOff>34160</xdr:colOff>
      <xdr:row>26</xdr:row>
      <xdr:rowOff>158970</xdr:rowOff>
    </xdr:to>
    <xdr:cxnSp macro="">
      <xdr:nvCxnSpPr>
        <xdr:cNvPr id="7" name="Straight Connector 6"/>
        <xdr:cNvCxnSpPr/>
      </xdr:nvCxnSpPr>
      <xdr:spPr>
        <a:xfrm rot="5400000">
          <a:off x="277211" y="1216574"/>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15767</xdr:colOff>
      <xdr:row>26</xdr:row>
      <xdr:rowOff>48612</xdr:rowOff>
    </xdr:from>
    <xdr:to>
      <xdr:col>2</xdr:col>
      <xdr:colOff>94595</xdr:colOff>
      <xdr:row>27</xdr:row>
      <xdr:rowOff>2629</xdr:rowOff>
    </xdr:to>
    <xdr:cxnSp macro="">
      <xdr:nvCxnSpPr>
        <xdr:cNvPr id="8" name="Straight Connector 7"/>
        <xdr:cNvCxnSpPr/>
      </xdr:nvCxnSpPr>
      <xdr:spPr>
        <a:xfrm rot="5400000">
          <a:off x="337646" y="1224457"/>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0</xdr:colOff>
      <xdr:row>26</xdr:row>
      <xdr:rowOff>0</xdr:rowOff>
    </xdr:from>
    <xdr:to>
      <xdr:col>44</xdr:col>
      <xdr:colOff>78828</xdr:colOff>
      <xdr:row>26</xdr:row>
      <xdr:rowOff>118241</xdr:rowOff>
    </xdr:to>
    <xdr:cxnSp macro="">
      <xdr:nvCxnSpPr>
        <xdr:cNvPr id="9" name="Straight Connector 8"/>
        <xdr:cNvCxnSpPr/>
      </xdr:nvCxnSpPr>
      <xdr:spPr>
        <a:xfrm rot="5400000">
          <a:off x="7495190" y="1175845"/>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60435</xdr:colOff>
      <xdr:row>26</xdr:row>
      <xdr:rowOff>7883</xdr:rowOff>
    </xdr:from>
    <xdr:to>
      <xdr:col>44</xdr:col>
      <xdr:colOff>139263</xdr:colOff>
      <xdr:row>26</xdr:row>
      <xdr:rowOff>126124</xdr:rowOff>
    </xdr:to>
    <xdr:cxnSp macro="">
      <xdr:nvCxnSpPr>
        <xdr:cNvPr id="10" name="Straight Connector 9"/>
        <xdr:cNvCxnSpPr/>
      </xdr:nvCxnSpPr>
      <xdr:spPr>
        <a:xfrm rot="5400000">
          <a:off x="7555625" y="1183728"/>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132693</xdr:colOff>
      <xdr:row>26</xdr:row>
      <xdr:rowOff>1314</xdr:rowOff>
    </xdr:from>
    <xdr:to>
      <xdr:col>45</xdr:col>
      <xdr:colOff>40728</xdr:colOff>
      <xdr:row>26</xdr:row>
      <xdr:rowOff>119555</xdr:rowOff>
    </xdr:to>
    <xdr:cxnSp macro="">
      <xdr:nvCxnSpPr>
        <xdr:cNvPr id="11" name="Straight Connector 10"/>
        <xdr:cNvCxnSpPr/>
      </xdr:nvCxnSpPr>
      <xdr:spPr>
        <a:xfrm rot="5400000">
          <a:off x="7627883" y="1177159"/>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22335</xdr:colOff>
      <xdr:row>26</xdr:row>
      <xdr:rowOff>9197</xdr:rowOff>
    </xdr:from>
    <xdr:to>
      <xdr:col>45</xdr:col>
      <xdr:colOff>101163</xdr:colOff>
      <xdr:row>26</xdr:row>
      <xdr:rowOff>127438</xdr:rowOff>
    </xdr:to>
    <xdr:cxnSp macro="">
      <xdr:nvCxnSpPr>
        <xdr:cNvPr id="12" name="Straight Connector 11"/>
        <xdr:cNvCxnSpPr/>
      </xdr:nvCxnSpPr>
      <xdr:spPr>
        <a:xfrm rot="5400000">
          <a:off x="7688318" y="1185042"/>
          <a:ext cx="118241" cy="78828"/>
        </a:xfrm>
        <a:prstGeom prst="line">
          <a:avLst/>
        </a:prstGeom>
        <a:ln w="127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157370</xdr:colOff>
      <xdr:row>24</xdr:row>
      <xdr:rowOff>24847</xdr:rowOff>
    </xdr:from>
    <xdr:to>
      <xdr:col>20</xdr:col>
      <xdr:colOff>91109</xdr:colOff>
      <xdr:row>32</xdr:row>
      <xdr:rowOff>132520</xdr:rowOff>
    </xdr:to>
    <xdr:cxnSp macro="">
      <xdr:nvCxnSpPr>
        <xdr:cNvPr id="41" name="Elbow Connector 40"/>
        <xdr:cNvCxnSpPr/>
      </xdr:nvCxnSpPr>
      <xdr:spPr>
        <a:xfrm rot="16200000" flipH="1">
          <a:off x="2782957" y="1532282"/>
          <a:ext cx="1466021" cy="107674"/>
        </a:xfrm>
        <a:prstGeom prst="bentConnector3">
          <a:avLst>
            <a:gd name="adj1" fmla="val 50000"/>
          </a:avLst>
        </a:prstGeom>
        <a:ln w="285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94422</xdr:colOff>
      <xdr:row>23</xdr:row>
      <xdr:rowOff>127552</xdr:rowOff>
    </xdr:from>
    <xdr:to>
      <xdr:col>21</xdr:col>
      <xdr:colOff>28162</xdr:colOff>
      <xdr:row>32</xdr:row>
      <xdr:rowOff>69573</xdr:rowOff>
    </xdr:to>
    <xdr:cxnSp macro="">
      <xdr:nvCxnSpPr>
        <xdr:cNvPr id="45" name="Elbow Connector 44"/>
        <xdr:cNvCxnSpPr/>
      </xdr:nvCxnSpPr>
      <xdr:spPr>
        <a:xfrm rot="16200000" flipH="1">
          <a:off x="2893944" y="1469335"/>
          <a:ext cx="1466021" cy="107674"/>
        </a:xfrm>
        <a:prstGeom prst="bentConnector3">
          <a:avLst>
            <a:gd name="adj1" fmla="val 50000"/>
          </a:avLst>
        </a:prstGeom>
        <a:ln w="28575"/>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17</xdr:row>
      <xdr:rowOff>9525</xdr:rowOff>
    </xdr:from>
    <xdr:to>
      <xdr:col>6</xdr:col>
      <xdr:colOff>113900</xdr:colOff>
      <xdr:row>17</xdr:row>
      <xdr:rowOff>16094</xdr:rowOff>
    </xdr:to>
    <xdr:cxnSp macro="">
      <xdr:nvCxnSpPr>
        <xdr:cNvPr id="13" name="Straight Arrow Connector 12"/>
        <xdr:cNvCxnSpPr/>
      </xdr:nvCxnSpPr>
      <xdr:spPr>
        <a:xfrm rot="10800000">
          <a:off x="0" y="2114550"/>
          <a:ext cx="799700" cy="6569"/>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0</xdr:colOff>
      <xdr:row>26</xdr:row>
      <xdr:rowOff>0</xdr:rowOff>
    </xdr:from>
    <xdr:to>
      <xdr:col>71</xdr:col>
      <xdr:colOff>38100</xdr:colOff>
      <xdr:row>32</xdr:row>
      <xdr:rowOff>114300</xdr:rowOff>
    </xdr:to>
    <xdr:cxnSp macro="">
      <xdr:nvCxnSpPr>
        <xdr:cNvPr id="17" name="Straight Arrow Connector 16"/>
        <xdr:cNvCxnSpPr/>
      </xdr:nvCxnSpPr>
      <xdr:spPr>
        <a:xfrm rot="16200000" flipV="1">
          <a:off x="7591425" y="3457575"/>
          <a:ext cx="857250" cy="38100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19051</xdr:colOff>
      <xdr:row>32</xdr:row>
      <xdr:rowOff>47625</xdr:rowOff>
    </xdr:from>
    <xdr:to>
      <xdr:col>66</xdr:col>
      <xdr:colOff>9526</xdr:colOff>
      <xdr:row>36</xdr:row>
      <xdr:rowOff>57150</xdr:rowOff>
    </xdr:to>
    <xdr:cxnSp macro="">
      <xdr:nvCxnSpPr>
        <xdr:cNvPr id="18" name="Straight Arrow Connector 17"/>
        <xdr:cNvCxnSpPr/>
      </xdr:nvCxnSpPr>
      <xdr:spPr>
        <a:xfrm rot="16200000" flipV="1">
          <a:off x="7248526" y="4152900"/>
          <a:ext cx="504825" cy="219075"/>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17</xdr:row>
      <xdr:rowOff>124556</xdr:rowOff>
    </xdr:from>
    <xdr:to>
      <xdr:col>13</xdr:col>
      <xdr:colOff>7327</xdr:colOff>
      <xdr:row>18</xdr:row>
      <xdr:rowOff>117230</xdr:rowOff>
    </xdr:to>
    <xdr:sp macro="" textlink="">
      <xdr:nvSpPr>
        <xdr:cNvPr id="20" name="Flowchart: Connector 19"/>
        <xdr:cNvSpPr/>
      </xdr:nvSpPr>
      <xdr:spPr>
        <a:xfrm>
          <a:off x="1340827" y="2242037"/>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15</xdr:col>
      <xdr:colOff>0</xdr:colOff>
      <xdr:row>17</xdr:row>
      <xdr:rowOff>124557</xdr:rowOff>
    </xdr:from>
    <xdr:to>
      <xdr:col>16</xdr:col>
      <xdr:colOff>7327</xdr:colOff>
      <xdr:row>18</xdr:row>
      <xdr:rowOff>117231</xdr:rowOff>
    </xdr:to>
    <xdr:sp macro="" textlink="">
      <xdr:nvSpPr>
        <xdr:cNvPr id="21" name="Flowchart: Connector 20"/>
        <xdr:cNvSpPr/>
      </xdr:nvSpPr>
      <xdr:spPr>
        <a:xfrm>
          <a:off x="1692519"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20</xdr:col>
      <xdr:colOff>117230</xdr:colOff>
      <xdr:row>17</xdr:row>
      <xdr:rowOff>124557</xdr:rowOff>
    </xdr:from>
    <xdr:to>
      <xdr:col>22</xdr:col>
      <xdr:colOff>7327</xdr:colOff>
      <xdr:row>18</xdr:row>
      <xdr:rowOff>117231</xdr:rowOff>
    </xdr:to>
    <xdr:sp macro="" textlink="">
      <xdr:nvSpPr>
        <xdr:cNvPr id="22" name="Flowchart: Connector 21"/>
        <xdr:cNvSpPr/>
      </xdr:nvSpPr>
      <xdr:spPr>
        <a:xfrm>
          <a:off x="2242038"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26</xdr:col>
      <xdr:colOff>0</xdr:colOff>
      <xdr:row>17</xdr:row>
      <xdr:rowOff>124557</xdr:rowOff>
    </xdr:from>
    <xdr:to>
      <xdr:col>27</xdr:col>
      <xdr:colOff>7327</xdr:colOff>
      <xdr:row>18</xdr:row>
      <xdr:rowOff>117231</xdr:rowOff>
    </xdr:to>
    <xdr:sp macro="" textlink="">
      <xdr:nvSpPr>
        <xdr:cNvPr id="23" name="Flowchart: Connector 22"/>
        <xdr:cNvSpPr/>
      </xdr:nvSpPr>
      <xdr:spPr>
        <a:xfrm>
          <a:off x="2828192"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30</xdr:col>
      <xdr:colOff>0</xdr:colOff>
      <xdr:row>17</xdr:row>
      <xdr:rowOff>124557</xdr:rowOff>
    </xdr:from>
    <xdr:to>
      <xdr:col>31</xdr:col>
      <xdr:colOff>7327</xdr:colOff>
      <xdr:row>18</xdr:row>
      <xdr:rowOff>117231</xdr:rowOff>
    </xdr:to>
    <xdr:sp macro="" textlink="">
      <xdr:nvSpPr>
        <xdr:cNvPr id="24" name="Flowchart: Connector 23"/>
        <xdr:cNvSpPr/>
      </xdr:nvSpPr>
      <xdr:spPr>
        <a:xfrm>
          <a:off x="3297115"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35</xdr:col>
      <xdr:colOff>0</xdr:colOff>
      <xdr:row>17</xdr:row>
      <xdr:rowOff>124557</xdr:rowOff>
    </xdr:from>
    <xdr:to>
      <xdr:col>35</xdr:col>
      <xdr:colOff>124558</xdr:colOff>
      <xdr:row>18</xdr:row>
      <xdr:rowOff>117231</xdr:rowOff>
    </xdr:to>
    <xdr:sp macro="" textlink="">
      <xdr:nvSpPr>
        <xdr:cNvPr id="25" name="Flowchart: Connector 24"/>
        <xdr:cNvSpPr/>
      </xdr:nvSpPr>
      <xdr:spPr>
        <a:xfrm>
          <a:off x="3883269"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40</xdr:col>
      <xdr:colOff>0</xdr:colOff>
      <xdr:row>17</xdr:row>
      <xdr:rowOff>124557</xdr:rowOff>
    </xdr:from>
    <xdr:to>
      <xdr:col>41</xdr:col>
      <xdr:colOff>7327</xdr:colOff>
      <xdr:row>18</xdr:row>
      <xdr:rowOff>117231</xdr:rowOff>
    </xdr:to>
    <xdr:sp macro="" textlink="">
      <xdr:nvSpPr>
        <xdr:cNvPr id="26" name="Flowchart: Connector 25"/>
        <xdr:cNvSpPr/>
      </xdr:nvSpPr>
      <xdr:spPr>
        <a:xfrm>
          <a:off x="4498731"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44</xdr:col>
      <xdr:colOff>0</xdr:colOff>
      <xdr:row>17</xdr:row>
      <xdr:rowOff>124557</xdr:rowOff>
    </xdr:from>
    <xdr:to>
      <xdr:col>45</xdr:col>
      <xdr:colOff>7327</xdr:colOff>
      <xdr:row>18</xdr:row>
      <xdr:rowOff>117231</xdr:rowOff>
    </xdr:to>
    <xdr:sp macro="" textlink="">
      <xdr:nvSpPr>
        <xdr:cNvPr id="27" name="Flowchart: Connector 26"/>
        <xdr:cNvSpPr/>
      </xdr:nvSpPr>
      <xdr:spPr>
        <a:xfrm>
          <a:off x="4967654"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48</xdr:col>
      <xdr:colOff>0</xdr:colOff>
      <xdr:row>17</xdr:row>
      <xdr:rowOff>124557</xdr:rowOff>
    </xdr:from>
    <xdr:to>
      <xdr:col>49</xdr:col>
      <xdr:colOff>7327</xdr:colOff>
      <xdr:row>18</xdr:row>
      <xdr:rowOff>117231</xdr:rowOff>
    </xdr:to>
    <xdr:sp macro="" textlink="">
      <xdr:nvSpPr>
        <xdr:cNvPr id="28" name="Flowchart: Connector 27"/>
        <xdr:cNvSpPr/>
      </xdr:nvSpPr>
      <xdr:spPr>
        <a:xfrm>
          <a:off x="5451231"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53</xdr:col>
      <xdr:colOff>0</xdr:colOff>
      <xdr:row>17</xdr:row>
      <xdr:rowOff>124557</xdr:rowOff>
    </xdr:from>
    <xdr:to>
      <xdr:col>54</xdr:col>
      <xdr:colOff>7328</xdr:colOff>
      <xdr:row>18</xdr:row>
      <xdr:rowOff>117231</xdr:rowOff>
    </xdr:to>
    <xdr:sp macro="" textlink="">
      <xdr:nvSpPr>
        <xdr:cNvPr id="29" name="Flowchart: Connector 28"/>
        <xdr:cNvSpPr/>
      </xdr:nvSpPr>
      <xdr:spPr>
        <a:xfrm>
          <a:off x="6037385"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57</xdr:col>
      <xdr:colOff>117230</xdr:colOff>
      <xdr:row>17</xdr:row>
      <xdr:rowOff>124557</xdr:rowOff>
    </xdr:from>
    <xdr:to>
      <xdr:col>59</xdr:col>
      <xdr:colOff>7327</xdr:colOff>
      <xdr:row>18</xdr:row>
      <xdr:rowOff>117231</xdr:rowOff>
    </xdr:to>
    <xdr:sp macro="" textlink="">
      <xdr:nvSpPr>
        <xdr:cNvPr id="30" name="Flowchart: Connector 29"/>
        <xdr:cNvSpPr/>
      </xdr:nvSpPr>
      <xdr:spPr>
        <a:xfrm>
          <a:off x="6623538"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62</xdr:col>
      <xdr:colOff>0</xdr:colOff>
      <xdr:row>17</xdr:row>
      <xdr:rowOff>124557</xdr:rowOff>
    </xdr:from>
    <xdr:to>
      <xdr:col>63</xdr:col>
      <xdr:colOff>7328</xdr:colOff>
      <xdr:row>18</xdr:row>
      <xdr:rowOff>117231</xdr:rowOff>
    </xdr:to>
    <xdr:sp macro="" textlink="">
      <xdr:nvSpPr>
        <xdr:cNvPr id="31" name="Flowchart: Connector 30"/>
        <xdr:cNvSpPr/>
      </xdr:nvSpPr>
      <xdr:spPr>
        <a:xfrm>
          <a:off x="7092462"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66</xdr:col>
      <xdr:colOff>0</xdr:colOff>
      <xdr:row>17</xdr:row>
      <xdr:rowOff>124557</xdr:rowOff>
    </xdr:from>
    <xdr:to>
      <xdr:col>67</xdr:col>
      <xdr:colOff>7328</xdr:colOff>
      <xdr:row>18</xdr:row>
      <xdr:rowOff>117231</xdr:rowOff>
    </xdr:to>
    <xdr:sp macro="" textlink="">
      <xdr:nvSpPr>
        <xdr:cNvPr id="32" name="Flowchart: Connector 31"/>
        <xdr:cNvSpPr/>
      </xdr:nvSpPr>
      <xdr:spPr>
        <a:xfrm>
          <a:off x="7561385"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70</xdr:col>
      <xdr:colOff>117230</xdr:colOff>
      <xdr:row>17</xdr:row>
      <xdr:rowOff>124557</xdr:rowOff>
    </xdr:from>
    <xdr:to>
      <xdr:col>72</xdr:col>
      <xdr:colOff>7327</xdr:colOff>
      <xdr:row>18</xdr:row>
      <xdr:rowOff>117231</xdr:rowOff>
    </xdr:to>
    <xdr:sp macro="" textlink="">
      <xdr:nvSpPr>
        <xdr:cNvPr id="33" name="Flowchart: Connector 32"/>
        <xdr:cNvSpPr/>
      </xdr:nvSpPr>
      <xdr:spPr>
        <a:xfrm>
          <a:off x="8147538" y="2242038"/>
          <a:ext cx="124558" cy="11723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22</xdr:col>
      <xdr:colOff>14654</xdr:colOff>
      <xdr:row>24</xdr:row>
      <xdr:rowOff>117230</xdr:rowOff>
    </xdr:from>
    <xdr:to>
      <xdr:col>75</xdr:col>
      <xdr:colOff>0</xdr:colOff>
      <xdr:row>25</xdr:row>
      <xdr:rowOff>0</xdr:rowOff>
    </xdr:to>
    <xdr:cxnSp macro="">
      <xdr:nvCxnSpPr>
        <xdr:cNvPr id="35" name="Straight Connector 34"/>
        <xdr:cNvCxnSpPr/>
      </xdr:nvCxnSpPr>
      <xdr:spPr>
        <a:xfrm>
          <a:off x="2373923" y="3106615"/>
          <a:ext cx="6242539" cy="7327"/>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109903</xdr:colOff>
      <xdr:row>19</xdr:row>
      <xdr:rowOff>43962</xdr:rowOff>
    </xdr:from>
    <xdr:to>
      <xdr:col>65</xdr:col>
      <xdr:colOff>117230</xdr:colOff>
      <xdr:row>30</xdr:row>
      <xdr:rowOff>117231</xdr:rowOff>
    </xdr:to>
    <xdr:cxnSp macro="">
      <xdr:nvCxnSpPr>
        <xdr:cNvPr id="37" name="Straight Connector 36"/>
        <xdr:cNvCxnSpPr/>
      </xdr:nvCxnSpPr>
      <xdr:spPr>
        <a:xfrm rot="16200000" flipH="1">
          <a:off x="6836019" y="3128596"/>
          <a:ext cx="1443404" cy="732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109905</xdr:colOff>
      <xdr:row>19</xdr:row>
      <xdr:rowOff>29307</xdr:rowOff>
    </xdr:from>
    <xdr:to>
      <xdr:col>61</xdr:col>
      <xdr:colOff>7328</xdr:colOff>
      <xdr:row>24</xdr:row>
      <xdr:rowOff>117229</xdr:rowOff>
    </xdr:to>
    <xdr:cxnSp macro="">
      <xdr:nvCxnSpPr>
        <xdr:cNvPr id="43" name="Straight Connector 42"/>
        <xdr:cNvCxnSpPr/>
      </xdr:nvCxnSpPr>
      <xdr:spPr>
        <a:xfrm rot="16200000" flipH="1">
          <a:off x="6619876" y="2743932"/>
          <a:ext cx="710711" cy="1465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55</xdr:col>
      <xdr:colOff>109904</xdr:colOff>
      <xdr:row>19</xdr:row>
      <xdr:rowOff>7328</xdr:rowOff>
    </xdr:from>
    <xdr:to>
      <xdr:col>56</xdr:col>
      <xdr:colOff>7327</xdr:colOff>
      <xdr:row>24</xdr:row>
      <xdr:rowOff>95250</xdr:rowOff>
    </xdr:to>
    <xdr:cxnSp macro="">
      <xdr:nvCxnSpPr>
        <xdr:cNvPr id="44" name="Straight Connector 43"/>
        <xdr:cNvCxnSpPr/>
      </xdr:nvCxnSpPr>
      <xdr:spPr>
        <a:xfrm rot="16200000" flipH="1">
          <a:off x="6033721" y="2721953"/>
          <a:ext cx="710711" cy="1465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2</xdr:colOff>
      <xdr:row>19</xdr:row>
      <xdr:rowOff>36634</xdr:rowOff>
    </xdr:from>
    <xdr:to>
      <xdr:col>51</xdr:col>
      <xdr:colOff>14656</xdr:colOff>
      <xdr:row>24</xdr:row>
      <xdr:rowOff>124556</xdr:rowOff>
    </xdr:to>
    <xdr:cxnSp macro="">
      <xdr:nvCxnSpPr>
        <xdr:cNvPr id="45" name="Straight Connector 44"/>
        <xdr:cNvCxnSpPr/>
      </xdr:nvCxnSpPr>
      <xdr:spPr>
        <a:xfrm rot="16200000" flipH="1">
          <a:off x="5454896" y="2751259"/>
          <a:ext cx="710711" cy="1465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xdr:colOff>
      <xdr:row>19</xdr:row>
      <xdr:rowOff>14655</xdr:rowOff>
    </xdr:from>
    <xdr:to>
      <xdr:col>46</xdr:col>
      <xdr:colOff>14655</xdr:colOff>
      <xdr:row>24</xdr:row>
      <xdr:rowOff>102577</xdr:rowOff>
    </xdr:to>
    <xdr:cxnSp macro="">
      <xdr:nvCxnSpPr>
        <xdr:cNvPr id="46" name="Straight Connector 45"/>
        <xdr:cNvCxnSpPr/>
      </xdr:nvCxnSpPr>
      <xdr:spPr>
        <a:xfrm rot="16200000" flipH="1">
          <a:off x="4868741" y="2729280"/>
          <a:ext cx="710711" cy="1465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102578</xdr:colOff>
      <xdr:row>19</xdr:row>
      <xdr:rowOff>21979</xdr:rowOff>
    </xdr:from>
    <xdr:to>
      <xdr:col>41</xdr:col>
      <xdr:colOff>1</xdr:colOff>
      <xdr:row>24</xdr:row>
      <xdr:rowOff>109901</xdr:rowOff>
    </xdr:to>
    <xdr:cxnSp macro="">
      <xdr:nvCxnSpPr>
        <xdr:cNvPr id="47" name="Straight Connector 46"/>
        <xdr:cNvCxnSpPr/>
      </xdr:nvCxnSpPr>
      <xdr:spPr>
        <a:xfrm rot="16200000" flipH="1">
          <a:off x="4253280" y="2736604"/>
          <a:ext cx="710711" cy="1465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19</xdr:row>
      <xdr:rowOff>0</xdr:rowOff>
    </xdr:from>
    <xdr:to>
      <xdr:col>36</xdr:col>
      <xdr:colOff>14654</xdr:colOff>
      <xdr:row>24</xdr:row>
      <xdr:rowOff>87922</xdr:rowOff>
    </xdr:to>
    <xdr:cxnSp macro="">
      <xdr:nvCxnSpPr>
        <xdr:cNvPr id="48" name="Straight Connector 47"/>
        <xdr:cNvCxnSpPr/>
      </xdr:nvCxnSpPr>
      <xdr:spPr>
        <a:xfrm rot="16200000" flipH="1">
          <a:off x="3667125" y="2714625"/>
          <a:ext cx="710711" cy="1465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30</xdr:row>
      <xdr:rowOff>109903</xdr:rowOff>
    </xdr:from>
    <xdr:to>
      <xdr:col>66</xdr:col>
      <xdr:colOff>7327</xdr:colOff>
      <xdr:row>30</xdr:row>
      <xdr:rowOff>117230</xdr:rowOff>
    </xdr:to>
    <xdr:cxnSp macro="">
      <xdr:nvCxnSpPr>
        <xdr:cNvPr id="50" name="Straight Connector 49"/>
        <xdr:cNvCxnSpPr/>
      </xdr:nvCxnSpPr>
      <xdr:spPr>
        <a:xfrm rot="10800000" flipV="1">
          <a:off x="4015154" y="3846634"/>
          <a:ext cx="3553558" cy="732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117231</xdr:colOff>
      <xdr:row>25</xdr:row>
      <xdr:rowOff>36633</xdr:rowOff>
    </xdr:from>
    <xdr:to>
      <xdr:col>36</xdr:col>
      <xdr:colOff>7327</xdr:colOff>
      <xdr:row>30</xdr:row>
      <xdr:rowOff>109903</xdr:rowOff>
    </xdr:to>
    <xdr:cxnSp macro="">
      <xdr:nvCxnSpPr>
        <xdr:cNvPr id="52" name="Straight Connector 51"/>
        <xdr:cNvCxnSpPr/>
      </xdr:nvCxnSpPr>
      <xdr:spPr>
        <a:xfrm rot="16200000" flipH="1">
          <a:off x="3663461" y="3487614"/>
          <a:ext cx="696059" cy="2198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116437</xdr:colOff>
      <xdr:row>19</xdr:row>
      <xdr:rowOff>51289</xdr:rowOff>
    </xdr:from>
    <xdr:to>
      <xdr:col>22</xdr:col>
      <xdr:colOff>14654</xdr:colOff>
      <xdr:row>34</xdr:row>
      <xdr:rowOff>96043</xdr:rowOff>
    </xdr:to>
    <xdr:cxnSp macro="">
      <xdr:nvCxnSpPr>
        <xdr:cNvPr id="54" name="Straight Connector 53"/>
        <xdr:cNvCxnSpPr/>
      </xdr:nvCxnSpPr>
      <xdr:spPr>
        <a:xfrm rot="5400000">
          <a:off x="1409639" y="3366721"/>
          <a:ext cx="1913120" cy="15448"/>
        </a:xfrm>
        <a:prstGeom prst="line">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116437</xdr:colOff>
      <xdr:row>25</xdr:row>
      <xdr:rowOff>8121</xdr:rowOff>
    </xdr:from>
    <xdr:to>
      <xdr:col>26</xdr:col>
      <xdr:colOff>795</xdr:colOff>
      <xdr:row>34</xdr:row>
      <xdr:rowOff>96044</xdr:rowOff>
    </xdr:to>
    <xdr:cxnSp macro="">
      <xdr:nvCxnSpPr>
        <xdr:cNvPr id="57" name="Straight Connector 56"/>
        <xdr:cNvCxnSpPr/>
      </xdr:nvCxnSpPr>
      <xdr:spPr>
        <a:xfrm rot="5400000" flipH="1" flipV="1">
          <a:off x="2223721" y="3725741"/>
          <a:ext cx="1208943" cy="158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xdr:colOff>
      <xdr:row>24</xdr:row>
      <xdr:rowOff>124556</xdr:rowOff>
    </xdr:from>
    <xdr:to>
      <xdr:col>31</xdr:col>
      <xdr:colOff>1590</xdr:colOff>
      <xdr:row>34</xdr:row>
      <xdr:rowOff>87922</xdr:rowOff>
    </xdr:to>
    <xdr:cxnSp macro="">
      <xdr:nvCxnSpPr>
        <xdr:cNvPr id="58" name="Straight Connector 57"/>
        <xdr:cNvCxnSpPr/>
      </xdr:nvCxnSpPr>
      <xdr:spPr>
        <a:xfrm rot="5400000" flipH="1" flipV="1">
          <a:off x="2810670" y="3717619"/>
          <a:ext cx="1208943" cy="158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102576</xdr:colOff>
      <xdr:row>19</xdr:row>
      <xdr:rowOff>29308</xdr:rowOff>
    </xdr:from>
    <xdr:to>
      <xdr:col>11</xdr:col>
      <xdr:colOff>109903</xdr:colOff>
      <xdr:row>24</xdr:row>
      <xdr:rowOff>102577</xdr:rowOff>
    </xdr:to>
    <xdr:cxnSp macro="">
      <xdr:nvCxnSpPr>
        <xdr:cNvPr id="60" name="Straight Connector 59"/>
        <xdr:cNvCxnSpPr/>
      </xdr:nvCxnSpPr>
      <xdr:spPr>
        <a:xfrm rot="16200000" flipH="1">
          <a:off x="981807" y="2740269"/>
          <a:ext cx="696058" cy="732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109903</xdr:colOff>
      <xdr:row>19</xdr:row>
      <xdr:rowOff>0</xdr:rowOff>
    </xdr:from>
    <xdr:to>
      <xdr:col>4</xdr:col>
      <xdr:colOff>117230</xdr:colOff>
      <xdr:row>24</xdr:row>
      <xdr:rowOff>109903</xdr:rowOff>
    </xdr:to>
    <xdr:cxnSp macro="">
      <xdr:nvCxnSpPr>
        <xdr:cNvPr id="62" name="Straight Connector 61"/>
        <xdr:cNvCxnSpPr/>
      </xdr:nvCxnSpPr>
      <xdr:spPr>
        <a:xfrm rot="16200000" flipH="1">
          <a:off x="216144" y="2729278"/>
          <a:ext cx="732692" cy="732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65943</xdr:colOff>
      <xdr:row>42</xdr:row>
      <xdr:rowOff>102577</xdr:rowOff>
    </xdr:from>
    <xdr:to>
      <xdr:col>61</xdr:col>
      <xdr:colOff>65942</xdr:colOff>
      <xdr:row>42</xdr:row>
      <xdr:rowOff>104165</xdr:rowOff>
    </xdr:to>
    <xdr:cxnSp macro="">
      <xdr:nvCxnSpPr>
        <xdr:cNvPr id="67" name="Straight Connector 66"/>
        <xdr:cNvCxnSpPr/>
      </xdr:nvCxnSpPr>
      <xdr:spPr>
        <a:xfrm>
          <a:off x="6689481" y="5334000"/>
          <a:ext cx="351692" cy="1588"/>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0</xdr:colOff>
      <xdr:row>46</xdr:row>
      <xdr:rowOff>0</xdr:rowOff>
    </xdr:from>
    <xdr:to>
      <xdr:col>61</xdr:col>
      <xdr:colOff>117230</xdr:colOff>
      <xdr:row>46</xdr:row>
      <xdr:rowOff>1588</xdr:rowOff>
    </xdr:to>
    <xdr:cxnSp macro="">
      <xdr:nvCxnSpPr>
        <xdr:cNvPr id="69" name="Straight Connector 68"/>
        <xdr:cNvCxnSpPr/>
      </xdr:nvCxnSpPr>
      <xdr:spPr>
        <a:xfrm>
          <a:off x="6740769" y="5729654"/>
          <a:ext cx="351692" cy="158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83780</xdr:colOff>
      <xdr:row>24</xdr:row>
      <xdr:rowOff>85366</xdr:rowOff>
    </xdr:from>
    <xdr:to>
      <xdr:col>22</xdr:col>
      <xdr:colOff>28526</xdr:colOff>
      <xdr:row>25</xdr:row>
      <xdr:rowOff>28350</xdr:rowOff>
    </xdr:to>
    <xdr:sp macro="" textlink="">
      <xdr:nvSpPr>
        <xdr:cNvPr id="70" name="Flowchart: Connector 69"/>
        <xdr:cNvSpPr/>
      </xdr:nvSpPr>
      <xdr:spPr>
        <a:xfrm>
          <a:off x="2288137" y="3089823"/>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26</xdr:col>
      <xdr:colOff>19846</xdr:colOff>
      <xdr:row>24</xdr:row>
      <xdr:rowOff>73060</xdr:rowOff>
    </xdr:from>
    <xdr:to>
      <xdr:col>26</xdr:col>
      <xdr:colOff>81895</xdr:colOff>
      <xdr:row>25</xdr:row>
      <xdr:rowOff>16044</xdr:rowOff>
    </xdr:to>
    <xdr:sp macro="" textlink="">
      <xdr:nvSpPr>
        <xdr:cNvPr id="71" name="Flowchart: Connector 70"/>
        <xdr:cNvSpPr/>
      </xdr:nvSpPr>
      <xdr:spPr>
        <a:xfrm>
          <a:off x="2795703" y="3077517"/>
          <a:ext cx="62049"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30</xdr:col>
      <xdr:colOff>74188</xdr:colOff>
      <xdr:row>24</xdr:row>
      <xdr:rowOff>78503</xdr:rowOff>
    </xdr:from>
    <xdr:to>
      <xdr:col>31</xdr:col>
      <xdr:colOff>21561</xdr:colOff>
      <xdr:row>25</xdr:row>
      <xdr:rowOff>21487</xdr:rowOff>
    </xdr:to>
    <xdr:sp macro="" textlink="">
      <xdr:nvSpPr>
        <xdr:cNvPr id="72" name="Flowchart: Connector 71"/>
        <xdr:cNvSpPr/>
      </xdr:nvSpPr>
      <xdr:spPr>
        <a:xfrm>
          <a:off x="3307245" y="3082960"/>
          <a:ext cx="61673"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34</xdr:col>
      <xdr:colOff>51955</xdr:colOff>
      <xdr:row>24</xdr:row>
      <xdr:rowOff>67617</xdr:rowOff>
    </xdr:from>
    <xdr:to>
      <xdr:col>34</xdr:col>
      <xdr:colOff>113628</xdr:colOff>
      <xdr:row>25</xdr:row>
      <xdr:rowOff>9974</xdr:rowOff>
    </xdr:to>
    <xdr:sp macro="" textlink="">
      <xdr:nvSpPr>
        <xdr:cNvPr id="73" name="Flowchart: Connector 72"/>
        <xdr:cNvSpPr/>
      </xdr:nvSpPr>
      <xdr:spPr>
        <a:xfrm>
          <a:off x="3742212" y="3072074"/>
          <a:ext cx="61673"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36</xdr:col>
      <xdr:colOff>91382</xdr:colOff>
      <xdr:row>24</xdr:row>
      <xdr:rowOff>67618</xdr:rowOff>
    </xdr:from>
    <xdr:to>
      <xdr:col>37</xdr:col>
      <xdr:colOff>41686</xdr:colOff>
      <xdr:row>25</xdr:row>
      <xdr:rowOff>9975</xdr:rowOff>
    </xdr:to>
    <xdr:sp macro="" textlink="">
      <xdr:nvSpPr>
        <xdr:cNvPr id="74" name="Flowchart: Connector 73"/>
        <xdr:cNvSpPr/>
      </xdr:nvSpPr>
      <xdr:spPr>
        <a:xfrm>
          <a:off x="4032011" y="3072075"/>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41</xdr:col>
      <xdr:colOff>16395</xdr:colOff>
      <xdr:row>24</xdr:row>
      <xdr:rowOff>73061</xdr:rowOff>
    </xdr:from>
    <xdr:to>
      <xdr:col>41</xdr:col>
      <xdr:colOff>78371</xdr:colOff>
      <xdr:row>25</xdr:row>
      <xdr:rowOff>16045</xdr:rowOff>
    </xdr:to>
    <xdr:sp macro="" textlink="">
      <xdr:nvSpPr>
        <xdr:cNvPr id="75" name="Flowchart: Connector 74"/>
        <xdr:cNvSpPr/>
      </xdr:nvSpPr>
      <xdr:spPr>
        <a:xfrm>
          <a:off x="4550295" y="3077518"/>
          <a:ext cx="6197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44</xdr:col>
      <xdr:colOff>106397</xdr:colOff>
      <xdr:row>24</xdr:row>
      <xdr:rowOff>62175</xdr:rowOff>
    </xdr:from>
    <xdr:to>
      <xdr:col>45</xdr:col>
      <xdr:colOff>56701</xdr:colOff>
      <xdr:row>25</xdr:row>
      <xdr:rowOff>4532</xdr:rowOff>
    </xdr:to>
    <xdr:sp macro="" textlink="">
      <xdr:nvSpPr>
        <xdr:cNvPr id="76" name="Flowchart: Connector 75"/>
        <xdr:cNvSpPr/>
      </xdr:nvSpPr>
      <xdr:spPr>
        <a:xfrm>
          <a:off x="4983197" y="3066632"/>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36</xdr:col>
      <xdr:colOff>32657</xdr:colOff>
      <xdr:row>30</xdr:row>
      <xdr:rowOff>83062</xdr:rowOff>
    </xdr:from>
    <xdr:to>
      <xdr:col>36</xdr:col>
      <xdr:colOff>94634</xdr:colOff>
      <xdr:row>31</xdr:row>
      <xdr:rowOff>25419</xdr:rowOff>
    </xdr:to>
    <xdr:sp macro="" textlink="">
      <xdr:nvSpPr>
        <xdr:cNvPr id="77" name="Flowchart: Connector 76"/>
        <xdr:cNvSpPr/>
      </xdr:nvSpPr>
      <xdr:spPr>
        <a:xfrm>
          <a:off x="3973286" y="3838633"/>
          <a:ext cx="61977"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40</xdr:col>
      <xdr:colOff>75906</xdr:colOff>
      <xdr:row>30</xdr:row>
      <xdr:rowOff>70756</xdr:rowOff>
    </xdr:from>
    <xdr:to>
      <xdr:col>41</xdr:col>
      <xdr:colOff>26586</xdr:colOff>
      <xdr:row>31</xdr:row>
      <xdr:rowOff>13113</xdr:rowOff>
    </xdr:to>
    <xdr:sp macro="" textlink="">
      <xdr:nvSpPr>
        <xdr:cNvPr id="78" name="Flowchart: Connector 77"/>
        <xdr:cNvSpPr/>
      </xdr:nvSpPr>
      <xdr:spPr>
        <a:xfrm>
          <a:off x="4495506" y="3826327"/>
          <a:ext cx="64980"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45</xdr:col>
      <xdr:colOff>27671</xdr:colOff>
      <xdr:row>30</xdr:row>
      <xdr:rowOff>76199</xdr:rowOff>
    </xdr:from>
    <xdr:to>
      <xdr:col>45</xdr:col>
      <xdr:colOff>92275</xdr:colOff>
      <xdr:row>31</xdr:row>
      <xdr:rowOff>18556</xdr:rowOff>
    </xdr:to>
    <xdr:sp macro="" textlink="">
      <xdr:nvSpPr>
        <xdr:cNvPr id="79" name="Flowchart: Connector 78"/>
        <xdr:cNvSpPr/>
      </xdr:nvSpPr>
      <xdr:spPr>
        <a:xfrm>
          <a:off x="5018771" y="3831770"/>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48</xdr:col>
      <xdr:colOff>109690</xdr:colOff>
      <xdr:row>30</xdr:row>
      <xdr:rowOff>65313</xdr:rowOff>
    </xdr:from>
    <xdr:to>
      <xdr:col>49</xdr:col>
      <xdr:colOff>59994</xdr:colOff>
      <xdr:row>31</xdr:row>
      <xdr:rowOff>7670</xdr:rowOff>
    </xdr:to>
    <xdr:sp macro="" textlink="">
      <xdr:nvSpPr>
        <xdr:cNvPr id="80" name="Flowchart: Connector 79"/>
        <xdr:cNvSpPr/>
      </xdr:nvSpPr>
      <xdr:spPr>
        <a:xfrm>
          <a:off x="5465461" y="3820884"/>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51</xdr:col>
      <xdr:colOff>58264</xdr:colOff>
      <xdr:row>30</xdr:row>
      <xdr:rowOff>65314</xdr:rowOff>
    </xdr:from>
    <xdr:to>
      <xdr:col>52</xdr:col>
      <xdr:colOff>8568</xdr:colOff>
      <xdr:row>31</xdr:row>
      <xdr:rowOff>7671</xdr:rowOff>
    </xdr:to>
    <xdr:sp macro="" textlink="">
      <xdr:nvSpPr>
        <xdr:cNvPr id="81" name="Flowchart: Connector 80"/>
        <xdr:cNvSpPr/>
      </xdr:nvSpPr>
      <xdr:spPr>
        <a:xfrm>
          <a:off x="5756935" y="3820885"/>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56</xdr:col>
      <xdr:colOff>9654</xdr:colOff>
      <xdr:row>30</xdr:row>
      <xdr:rowOff>70757</xdr:rowOff>
    </xdr:from>
    <xdr:to>
      <xdr:col>56</xdr:col>
      <xdr:colOff>71630</xdr:colOff>
      <xdr:row>31</xdr:row>
      <xdr:rowOff>13114</xdr:rowOff>
    </xdr:to>
    <xdr:sp macro="" textlink="">
      <xdr:nvSpPr>
        <xdr:cNvPr id="82" name="Flowchart: Connector 81"/>
        <xdr:cNvSpPr/>
      </xdr:nvSpPr>
      <xdr:spPr>
        <a:xfrm>
          <a:off x="6279825" y="3826328"/>
          <a:ext cx="61976"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59</xdr:col>
      <xdr:colOff>111379</xdr:colOff>
      <xdr:row>30</xdr:row>
      <xdr:rowOff>59871</xdr:rowOff>
    </xdr:from>
    <xdr:to>
      <xdr:col>60</xdr:col>
      <xdr:colOff>61683</xdr:colOff>
      <xdr:row>31</xdr:row>
      <xdr:rowOff>2228</xdr:rowOff>
    </xdr:to>
    <xdr:sp macro="" textlink="">
      <xdr:nvSpPr>
        <xdr:cNvPr id="83" name="Flowchart: Connector 82"/>
        <xdr:cNvSpPr/>
      </xdr:nvSpPr>
      <xdr:spPr>
        <a:xfrm>
          <a:off x="6724450" y="3815442"/>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50</xdr:col>
      <xdr:colOff>5444</xdr:colOff>
      <xdr:row>24</xdr:row>
      <xdr:rowOff>93947</xdr:rowOff>
    </xdr:from>
    <xdr:to>
      <xdr:col>50</xdr:col>
      <xdr:colOff>67421</xdr:colOff>
      <xdr:row>25</xdr:row>
      <xdr:rowOff>36304</xdr:rowOff>
    </xdr:to>
    <xdr:sp macro="" textlink="">
      <xdr:nvSpPr>
        <xdr:cNvPr id="84" name="Flowchart: Connector 83"/>
        <xdr:cNvSpPr/>
      </xdr:nvSpPr>
      <xdr:spPr>
        <a:xfrm>
          <a:off x="5589815" y="3098404"/>
          <a:ext cx="61977"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54</xdr:col>
      <xdr:colOff>70464</xdr:colOff>
      <xdr:row>24</xdr:row>
      <xdr:rowOff>81641</xdr:rowOff>
    </xdr:from>
    <xdr:to>
      <xdr:col>55</xdr:col>
      <xdr:colOff>21144</xdr:colOff>
      <xdr:row>25</xdr:row>
      <xdr:rowOff>23998</xdr:rowOff>
    </xdr:to>
    <xdr:sp macro="" textlink="">
      <xdr:nvSpPr>
        <xdr:cNvPr id="85" name="Flowchart: Connector 84"/>
        <xdr:cNvSpPr/>
      </xdr:nvSpPr>
      <xdr:spPr>
        <a:xfrm>
          <a:off x="6112035" y="3086098"/>
          <a:ext cx="64980"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59</xdr:col>
      <xdr:colOff>22229</xdr:colOff>
      <xdr:row>24</xdr:row>
      <xdr:rowOff>87084</xdr:rowOff>
    </xdr:from>
    <xdr:to>
      <xdr:col>59</xdr:col>
      <xdr:colOff>86833</xdr:colOff>
      <xdr:row>25</xdr:row>
      <xdr:rowOff>29441</xdr:rowOff>
    </xdr:to>
    <xdr:sp macro="" textlink="">
      <xdr:nvSpPr>
        <xdr:cNvPr id="86" name="Flowchart: Connector 85"/>
        <xdr:cNvSpPr/>
      </xdr:nvSpPr>
      <xdr:spPr>
        <a:xfrm>
          <a:off x="6635300" y="3091541"/>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63</xdr:col>
      <xdr:colOff>11719</xdr:colOff>
      <xdr:row>24</xdr:row>
      <xdr:rowOff>76198</xdr:rowOff>
    </xdr:from>
    <xdr:to>
      <xdr:col>63</xdr:col>
      <xdr:colOff>76323</xdr:colOff>
      <xdr:row>25</xdr:row>
      <xdr:rowOff>18555</xdr:rowOff>
    </xdr:to>
    <xdr:sp macro="" textlink="">
      <xdr:nvSpPr>
        <xdr:cNvPr id="87" name="Flowchart: Connector 86"/>
        <xdr:cNvSpPr/>
      </xdr:nvSpPr>
      <xdr:spPr>
        <a:xfrm>
          <a:off x="7081990" y="3080655"/>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65</xdr:col>
      <xdr:colOff>74593</xdr:colOff>
      <xdr:row>24</xdr:row>
      <xdr:rowOff>76199</xdr:rowOff>
    </xdr:from>
    <xdr:to>
      <xdr:col>66</xdr:col>
      <xdr:colOff>24897</xdr:colOff>
      <xdr:row>25</xdr:row>
      <xdr:rowOff>18556</xdr:rowOff>
    </xdr:to>
    <xdr:sp macro="" textlink="">
      <xdr:nvSpPr>
        <xdr:cNvPr id="88" name="Flowchart: Connector 87"/>
        <xdr:cNvSpPr/>
      </xdr:nvSpPr>
      <xdr:spPr>
        <a:xfrm>
          <a:off x="7373464" y="3080656"/>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70</xdr:col>
      <xdr:colOff>69527</xdr:colOff>
      <xdr:row>24</xdr:row>
      <xdr:rowOff>81642</xdr:rowOff>
    </xdr:from>
    <xdr:to>
      <xdr:col>71</xdr:col>
      <xdr:colOff>17203</xdr:colOff>
      <xdr:row>25</xdr:row>
      <xdr:rowOff>23999</xdr:rowOff>
    </xdr:to>
    <xdr:sp macro="" textlink="">
      <xdr:nvSpPr>
        <xdr:cNvPr id="89" name="Flowchart: Connector 88"/>
        <xdr:cNvSpPr/>
      </xdr:nvSpPr>
      <xdr:spPr>
        <a:xfrm>
          <a:off x="7939898" y="3086099"/>
          <a:ext cx="61976"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74</xdr:col>
      <xdr:colOff>13408</xdr:colOff>
      <xdr:row>24</xdr:row>
      <xdr:rowOff>70756</xdr:rowOff>
    </xdr:from>
    <xdr:to>
      <xdr:col>74</xdr:col>
      <xdr:colOff>78012</xdr:colOff>
      <xdr:row>25</xdr:row>
      <xdr:rowOff>13113</xdr:rowOff>
    </xdr:to>
    <xdr:sp macro="" textlink="">
      <xdr:nvSpPr>
        <xdr:cNvPr id="90" name="Flowchart: Connector 89"/>
        <xdr:cNvSpPr/>
      </xdr:nvSpPr>
      <xdr:spPr>
        <a:xfrm>
          <a:off x="8340979" y="3075213"/>
          <a:ext cx="64604" cy="6754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21</xdr:col>
      <xdr:colOff>88804</xdr:colOff>
      <xdr:row>22</xdr:row>
      <xdr:rowOff>44799</xdr:rowOff>
    </xdr:from>
    <xdr:to>
      <xdr:col>22</xdr:col>
      <xdr:colOff>33550</xdr:colOff>
      <xdr:row>22</xdr:row>
      <xdr:rowOff>112969</xdr:rowOff>
    </xdr:to>
    <xdr:sp macro="" textlink="">
      <xdr:nvSpPr>
        <xdr:cNvPr id="91" name="Flowchart: Connector 90"/>
        <xdr:cNvSpPr/>
      </xdr:nvSpPr>
      <xdr:spPr>
        <a:xfrm>
          <a:off x="2293161" y="2798885"/>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21</xdr:col>
      <xdr:colOff>88804</xdr:colOff>
      <xdr:row>19</xdr:row>
      <xdr:rowOff>99227</xdr:rowOff>
    </xdr:from>
    <xdr:to>
      <xdr:col>22</xdr:col>
      <xdr:colOff>33550</xdr:colOff>
      <xdr:row>20</xdr:row>
      <xdr:rowOff>42212</xdr:rowOff>
    </xdr:to>
    <xdr:sp macro="" textlink="">
      <xdr:nvSpPr>
        <xdr:cNvPr id="92" name="Flowchart: Connector 91"/>
        <xdr:cNvSpPr/>
      </xdr:nvSpPr>
      <xdr:spPr>
        <a:xfrm>
          <a:off x="2293161" y="247775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21</xdr:col>
      <xdr:colOff>83361</xdr:colOff>
      <xdr:row>34</xdr:row>
      <xdr:rowOff>3724</xdr:rowOff>
    </xdr:from>
    <xdr:to>
      <xdr:col>22</xdr:col>
      <xdr:colOff>28107</xdr:colOff>
      <xdr:row>34</xdr:row>
      <xdr:rowOff>71894</xdr:rowOff>
    </xdr:to>
    <xdr:sp macro="" textlink="">
      <xdr:nvSpPr>
        <xdr:cNvPr id="93" name="Flowchart: Connector 92"/>
        <xdr:cNvSpPr/>
      </xdr:nvSpPr>
      <xdr:spPr>
        <a:xfrm>
          <a:off x="2287718" y="4260038"/>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21</xdr:col>
      <xdr:colOff>88385</xdr:colOff>
      <xdr:row>31</xdr:row>
      <xdr:rowOff>88343</xdr:rowOff>
    </xdr:from>
    <xdr:to>
      <xdr:col>22</xdr:col>
      <xdr:colOff>33131</xdr:colOff>
      <xdr:row>32</xdr:row>
      <xdr:rowOff>31327</xdr:rowOff>
    </xdr:to>
    <xdr:sp macro="" textlink="">
      <xdr:nvSpPr>
        <xdr:cNvPr id="94" name="Flowchart: Connector 93"/>
        <xdr:cNvSpPr/>
      </xdr:nvSpPr>
      <xdr:spPr>
        <a:xfrm>
          <a:off x="2292742" y="3969100"/>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21</xdr:col>
      <xdr:colOff>88385</xdr:colOff>
      <xdr:row>29</xdr:row>
      <xdr:rowOff>17585</xdr:rowOff>
    </xdr:from>
    <xdr:to>
      <xdr:col>22</xdr:col>
      <xdr:colOff>33131</xdr:colOff>
      <xdr:row>29</xdr:row>
      <xdr:rowOff>85755</xdr:rowOff>
    </xdr:to>
    <xdr:sp macro="" textlink="">
      <xdr:nvSpPr>
        <xdr:cNvPr id="95" name="Flowchart: Connector 94"/>
        <xdr:cNvSpPr/>
      </xdr:nvSpPr>
      <xdr:spPr>
        <a:xfrm>
          <a:off x="2292742" y="3647971"/>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25</xdr:col>
      <xdr:colOff>83361</xdr:colOff>
      <xdr:row>34</xdr:row>
      <xdr:rowOff>9167</xdr:rowOff>
    </xdr:from>
    <xdr:to>
      <xdr:col>26</xdr:col>
      <xdr:colOff>28107</xdr:colOff>
      <xdr:row>34</xdr:row>
      <xdr:rowOff>77337</xdr:rowOff>
    </xdr:to>
    <xdr:sp macro="" textlink="">
      <xdr:nvSpPr>
        <xdr:cNvPr id="96" name="Flowchart: Connector 95"/>
        <xdr:cNvSpPr/>
      </xdr:nvSpPr>
      <xdr:spPr>
        <a:xfrm>
          <a:off x="2744918" y="4265481"/>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25</xdr:col>
      <xdr:colOff>88385</xdr:colOff>
      <xdr:row>31</xdr:row>
      <xdr:rowOff>93786</xdr:rowOff>
    </xdr:from>
    <xdr:to>
      <xdr:col>26</xdr:col>
      <xdr:colOff>33131</xdr:colOff>
      <xdr:row>32</xdr:row>
      <xdr:rowOff>36770</xdr:rowOff>
    </xdr:to>
    <xdr:sp macro="" textlink="">
      <xdr:nvSpPr>
        <xdr:cNvPr id="97" name="Flowchart: Connector 96"/>
        <xdr:cNvSpPr/>
      </xdr:nvSpPr>
      <xdr:spPr>
        <a:xfrm>
          <a:off x="2749942" y="3974543"/>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25</xdr:col>
      <xdr:colOff>88385</xdr:colOff>
      <xdr:row>29</xdr:row>
      <xdr:rowOff>23028</xdr:rowOff>
    </xdr:from>
    <xdr:to>
      <xdr:col>26</xdr:col>
      <xdr:colOff>33131</xdr:colOff>
      <xdr:row>29</xdr:row>
      <xdr:rowOff>91198</xdr:rowOff>
    </xdr:to>
    <xdr:sp macro="" textlink="">
      <xdr:nvSpPr>
        <xdr:cNvPr id="98" name="Flowchart: Connector 97"/>
        <xdr:cNvSpPr/>
      </xdr:nvSpPr>
      <xdr:spPr>
        <a:xfrm>
          <a:off x="2749942" y="3653414"/>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30</xdr:col>
      <xdr:colOff>77918</xdr:colOff>
      <xdr:row>32</xdr:row>
      <xdr:rowOff>47266</xdr:rowOff>
    </xdr:from>
    <xdr:to>
      <xdr:col>31</xdr:col>
      <xdr:colOff>22664</xdr:colOff>
      <xdr:row>32</xdr:row>
      <xdr:rowOff>115436</xdr:rowOff>
    </xdr:to>
    <xdr:sp macro="" textlink="">
      <xdr:nvSpPr>
        <xdr:cNvPr id="99" name="Flowchart: Connector 98"/>
        <xdr:cNvSpPr/>
      </xdr:nvSpPr>
      <xdr:spPr>
        <a:xfrm>
          <a:off x="3310975" y="405320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30</xdr:col>
      <xdr:colOff>82942</xdr:colOff>
      <xdr:row>30</xdr:row>
      <xdr:rowOff>6700</xdr:rowOff>
    </xdr:from>
    <xdr:to>
      <xdr:col>31</xdr:col>
      <xdr:colOff>27688</xdr:colOff>
      <xdr:row>30</xdr:row>
      <xdr:rowOff>74870</xdr:rowOff>
    </xdr:to>
    <xdr:sp macro="" textlink="">
      <xdr:nvSpPr>
        <xdr:cNvPr id="100" name="Flowchart: Connector 99"/>
        <xdr:cNvSpPr/>
      </xdr:nvSpPr>
      <xdr:spPr>
        <a:xfrm>
          <a:off x="3315999" y="3762271"/>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30</xdr:col>
      <xdr:colOff>82942</xdr:colOff>
      <xdr:row>27</xdr:row>
      <xdr:rowOff>61128</xdr:rowOff>
    </xdr:from>
    <xdr:to>
      <xdr:col>31</xdr:col>
      <xdr:colOff>27688</xdr:colOff>
      <xdr:row>28</xdr:row>
      <xdr:rowOff>4112</xdr:rowOff>
    </xdr:to>
    <xdr:sp macro="" textlink="">
      <xdr:nvSpPr>
        <xdr:cNvPr id="101" name="Flowchart: Connector 100"/>
        <xdr:cNvSpPr/>
      </xdr:nvSpPr>
      <xdr:spPr>
        <a:xfrm>
          <a:off x="3315999" y="3441142"/>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35</xdr:col>
      <xdr:colOff>116018</xdr:colOff>
      <xdr:row>24</xdr:row>
      <xdr:rowOff>25495</xdr:rowOff>
    </xdr:from>
    <xdr:to>
      <xdr:col>36</xdr:col>
      <xdr:colOff>38992</xdr:colOff>
      <xdr:row>24</xdr:row>
      <xdr:rowOff>93665</xdr:rowOff>
    </xdr:to>
    <xdr:sp macro="" textlink="">
      <xdr:nvSpPr>
        <xdr:cNvPr id="102" name="Flowchart: Connector 101"/>
        <xdr:cNvSpPr/>
      </xdr:nvSpPr>
      <xdr:spPr>
        <a:xfrm>
          <a:off x="3920575" y="3029952"/>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35</xdr:col>
      <xdr:colOff>121042</xdr:colOff>
      <xdr:row>21</xdr:row>
      <xdr:rowOff>110114</xdr:rowOff>
    </xdr:from>
    <xdr:to>
      <xdr:col>36</xdr:col>
      <xdr:colOff>44016</xdr:colOff>
      <xdr:row>22</xdr:row>
      <xdr:rowOff>53098</xdr:rowOff>
    </xdr:to>
    <xdr:sp macro="" textlink="">
      <xdr:nvSpPr>
        <xdr:cNvPr id="103" name="Flowchart: Connector 102"/>
        <xdr:cNvSpPr/>
      </xdr:nvSpPr>
      <xdr:spPr>
        <a:xfrm>
          <a:off x="3925599" y="2739014"/>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35</xdr:col>
      <xdr:colOff>121042</xdr:colOff>
      <xdr:row>19</xdr:row>
      <xdr:rowOff>39356</xdr:rowOff>
    </xdr:from>
    <xdr:to>
      <xdr:col>36</xdr:col>
      <xdr:colOff>44016</xdr:colOff>
      <xdr:row>19</xdr:row>
      <xdr:rowOff>107526</xdr:rowOff>
    </xdr:to>
    <xdr:sp macro="" textlink="">
      <xdr:nvSpPr>
        <xdr:cNvPr id="104" name="Flowchart: Connector 103"/>
        <xdr:cNvSpPr/>
      </xdr:nvSpPr>
      <xdr:spPr>
        <a:xfrm>
          <a:off x="3925599" y="2417885"/>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40</xdr:col>
      <xdr:colOff>61589</xdr:colOff>
      <xdr:row>24</xdr:row>
      <xdr:rowOff>20052</xdr:rowOff>
    </xdr:from>
    <xdr:to>
      <xdr:col>41</xdr:col>
      <xdr:colOff>6335</xdr:colOff>
      <xdr:row>24</xdr:row>
      <xdr:rowOff>88222</xdr:rowOff>
    </xdr:to>
    <xdr:sp macro="" textlink="">
      <xdr:nvSpPr>
        <xdr:cNvPr id="105" name="Flowchart: Connector 104"/>
        <xdr:cNvSpPr/>
      </xdr:nvSpPr>
      <xdr:spPr>
        <a:xfrm>
          <a:off x="4481189" y="302450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40</xdr:col>
      <xdr:colOff>66613</xdr:colOff>
      <xdr:row>21</xdr:row>
      <xdr:rowOff>104671</xdr:rowOff>
    </xdr:from>
    <xdr:to>
      <xdr:col>41</xdr:col>
      <xdr:colOff>11359</xdr:colOff>
      <xdr:row>22</xdr:row>
      <xdr:rowOff>47655</xdr:rowOff>
    </xdr:to>
    <xdr:sp macro="" textlink="">
      <xdr:nvSpPr>
        <xdr:cNvPr id="106" name="Flowchart: Connector 105"/>
        <xdr:cNvSpPr/>
      </xdr:nvSpPr>
      <xdr:spPr>
        <a:xfrm>
          <a:off x="4486213" y="2733571"/>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40</xdr:col>
      <xdr:colOff>66613</xdr:colOff>
      <xdr:row>19</xdr:row>
      <xdr:rowOff>33913</xdr:rowOff>
    </xdr:from>
    <xdr:to>
      <xdr:col>41</xdr:col>
      <xdr:colOff>11359</xdr:colOff>
      <xdr:row>19</xdr:row>
      <xdr:rowOff>102083</xdr:rowOff>
    </xdr:to>
    <xdr:sp macro="" textlink="">
      <xdr:nvSpPr>
        <xdr:cNvPr id="107" name="Flowchart: Connector 106"/>
        <xdr:cNvSpPr/>
      </xdr:nvSpPr>
      <xdr:spPr>
        <a:xfrm>
          <a:off x="4486213" y="2412442"/>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45</xdr:col>
      <xdr:colOff>108857</xdr:colOff>
      <xdr:row>24</xdr:row>
      <xdr:rowOff>62339</xdr:rowOff>
    </xdr:from>
    <xdr:to>
      <xdr:col>46</xdr:col>
      <xdr:colOff>31832</xdr:colOff>
      <xdr:row>25</xdr:row>
      <xdr:rowOff>5323</xdr:rowOff>
    </xdr:to>
    <xdr:sp macro="" textlink="">
      <xdr:nvSpPr>
        <xdr:cNvPr id="108" name="Flowchart: Connector 107"/>
        <xdr:cNvSpPr/>
      </xdr:nvSpPr>
      <xdr:spPr>
        <a:xfrm>
          <a:off x="5099957" y="306679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45</xdr:col>
      <xdr:colOff>113881</xdr:colOff>
      <xdr:row>22</xdr:row>
      <xdr:rowOff>21772</xdr:rowOff>
    </xdr:from>
    <xdr:to>
      <xdr:col>46</xdr:col>
      <xdr:colOff>36856</xdr:colOff>
      <xdr:row>22</xdr:row>
      <xdr:rowOff>89942</xdr:rowOff>
    </xdr:to>
    <xdr:sp macro="" textlink="">
      <xdr:nvSpPr>
        <xdr:cNvPr id="109" name="Flowchart: Connector 108"/>
        <xdr:cNvSpPr/>
      </xdr:nvSpPr>
      <xdr:spPr>
        <a:xfrm>
          <a:off x="5104981" y="2775858"/>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45</xdr:col>
      <xdr:colOff>113881</xdr:colOff>
      <xdr:row>19</xdr:row>
      <xdr:rowOff>76200</xdr:rowOff>
    </xdr:from>
    <xdr:to>
      <xdr:col>46</xdr:col>
      <xdr:colOff>36856</xdr:colOff>
      <xdr:row>20</xdr:row>
      <xdr:rowOff>19185</xdr:rowOff>
    </xdr:to>
    <xdr:sp macro="" textlink="">
      <xdr:nvSpPr>
        <xdr:cNvPr id="110" name="Flowchart: Connector 109"/>
        <xdr:cNvSpPr/>
      </xdr:nvSpPr>
      <xdr:spPr>
        <a:xfrm>
          <a:off x="5104981" y="245472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50</xdr:col>
      <xdr:colOff>76200</xdr:colOff>
      <xdr:row>24</xdr:row>
      <xdr:rowOff>56896</xdr:rowOff>
    </xdr:from>
    <xdr:to>
      <xdr:col>51</xdr:col>
      <xdr:colOff>20946</xdr:colOff>
      <xdr:row>24</xdr:row>
      <xdr:rowOff>125066</xdr:rowOff>
    </xdr:to>
    <xdr:sp macro="" textlink="">
      <xdr:nvSpPr>
        <xdr:cNvPr id="111" name="Flowchart: Connector 110"/>
        <xdr:cNvSpPr/>
      </xdr:nvSpPr>
      <xdr:spPr>
        <a:xfrm>
          <a:off x="5660571" y="3061353"/>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50</xdr:col>
      <xdr:colOff>81224</xdr:colOff>
      <xdr:row>22</xdr:row>
      <xdr:rowOff>16329</xdr:rowOff>
    </xdr:from>
    <xdr:to>
      <xdr:col>51</xdr:col>
      <xdr:colOff>25970</xdr:colOff>
      <xdr:row>22</xdr:row>
      <xdr:rowOff>84499</xdr:rowOff>
    </xdr:to>
    <xdr:sp macro="" textlink="">
      <xdr:nvSpPr>
        <xdr:cNvPr id="112" name="Flowchart: Connector 111"/>
        <xdr:cNvSpPr/>
      </xdr:nvSpPr>
      <xdr:spPr>
        <a:xfrm>
          <a:off x="5665595" y="2770415"/>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50</xdr:col>
      <xdr:colOff>81224</xdr:colOff>
      <xdr:row>19</xdr:row>
      <xdr:rowOff>70757</xdr:rowOff>
    </xdr:from>
    <xdr:to>
      <xdr:col>51</xdr:col>
      <xdr:colOff>25970</xdr:colOff>
      <xdr:row>20</xdr:row>
      <xdr:rowOff>13742</xdr:rowOff>
    </xdr:to>
    <xdr:sp macro="" textlink="">
      <xdr:nvSpPr>
        <xdr:cNvPr id="113" name="Flowchart: Connector 112"/>
        <xdr:cNvSpPr/>
      </xdr:nvSpPr>
      <xdr:spPr>
        <a:xfrm>
          <a:off x="5665595" y="244928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55</xdr:col>
      <xdr:colOff>87086</xdr:colOff>
      <xdr:row>24</xdr:row>
      <xdr:rowOff>24239</xdr:rowOff>
    </xdr:from>
    <xdr:to>
      <xdr:col>56</xdr:col>
      <xdr:colOff>31832</xdr:colOff>
      <xdr:row>24</xdr:row>
      <xdr:rowOff>92409</xdr:rowOff>
    </xdr:to>
    <xdr:sp macro="" textlink="">
      <xdr:nvSpPr>
        <xdr:cNvPr id="114" name="Flowchart: Connector 113"/>
        <xdr:cNvSpPr/>
      </xdr:nvSpPr>
      <xdr:spPr>
        <a:xfrm>
          <a:off x="6242957" y="302869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55</xdr:col>
      <xdr:colOff>92110</xdr:colOff>
      <xdr:row>21</xdr:row>
      <xdr:rowOff>108858</xdr:rowOff>
    </xdr:from>
    <xdr:to>
      <xdr:col>56</xdr:col>
      <xdr:colOff>36856</xdr:colOff>
      <xdr:row>22</xdr:row>
      <xdr:rowOff>51842</xdr:rowOff>
    </xdr:to>
    <xdr:sp macro="" textlink="">
      <xdr:nvSpPr>
        <xdr:cNvPr id="115" name="Flowchart: Connector 114"/>
        <xdr:cNvSpPr/>
      </xdr:nvSpPr>
      <xdr:spPr>
        <a:xfrm>
          <a:off x="6247981" y="2737758"/>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55</xdr:col>
      <xdr:colOff>92110</xdr:colOff>
      <xdr:row>19</xdr:row>
      <xdr:rowOff>38100</xdr:rowOff>
    </xdr:from>
    <xdr:to>
      <xdr:col>56</xdr:col>
      <xdr:colOff>36856</xdr:colOff>
      <xdr:row>19</xdr:row>
      <xdr:rowOff>106270</xdr:rowOff>
    </xdr:to>
    <xdr:sp macro="" textlink="">
      <xdr:nvSpPr>
        <xdr:cNvPr id="116" name="Flowchart: Connector 115"/>
        <xdr:cNvSpPr/>
      </xdr:nvSpPr>
      <xdr:spPr>
        <a:xfrm>
          <a:off x="6247981" y="241662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60</xdr:col>
      <xdr:colOff>76200</xdr:colOff>
      <xdr:row>24</xdr:row>
      <xdr:rowOff>18796</xdr:rowOff>
    </xdr:from>
    <xdr:to>
      <xdr:col>61</xdr:col>
      <xdr:colOff>20946</xdr:colOff>
      <xdr:row>24</xdr:row>
      <xdr:rowOff>86966</xdr:rowOff>
    </xdr:to>
    <xdr:sp macro="" textlink="">
      <xdr:nvSpPr>
        <xdr:cNvPr id="117" name="Flowchart: Connector 116"/>
        <xdr:cNvSpPr/>
      </xdr:nvSpPr>
      <xdr:spPr>
        <a:xfrm>
          <a:off x="6803571" y="3023253"/>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60</xdr:col>
      <xdr:colOff>81224</xdr:colOff>
      <xdr:row>21</xdr:row>
      <xdr:rowOff>103415</xdr:rowOff>
    </xdr:from>
    <xdr:to>
      <xdr:col>61</xdr:col>
      <xdr:colOff>25970</xdr:colOff>
      <xdr:row>22</xdr:row>
      <xdr:rowOff>46399</xdr:rowOff>
    </xdr:to>
    <xdr:sp macro="" textlink="">
      <xdr:nvSpPr>
        <xdr:cNvPr id="118" name="Flowchart: Connector 117"/>
        <xdr:cNvSpPr/>
      </xdr:nvSpPr>
      <xdr:spPr>
        <a:xfrm>
          <a:off x="6808595" y="2732315"/>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60</xdr:col>
      <xdr:colOff>81224</xdr:colOff>
      <xdr:row>19</xdr:row>
      <xdr:rowOff>32657</xdr:rowOff>
    </xdr:from>
    <xdr:to>
      <xdr:col>61</xdr:col>
      <xdr:colOff>25970</xdr:colOff>
      <xdr:row>19</xdr:row>
      <xdr:rowOff>100827</xdr:rowOff>
    </xdr:to>
    <xdr:sp macro="" textlink="">
      <xdr:nvSpPr>
        <xdr:cNvPr id="119" name="Flowchart: Connector 118"/>
        <xdr:cNvSpPr/>
      </xdr:nvSpPr>
      <xdr:spPr>
        <a:xfrm>
          <a:off x="6808595" y="241118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65</xdr:col>
      <xdr:colOff>76201</xdr:colOff>
      <xdr:row>24</xdr:row>
      <xdr:rowOff>84110</xdr:rowOff>
    </xdr:from>
    <xdr:to>
      <xdr:col>66</xdr:col>
      <xdr:colOff>20947</xdr:colOff>
      <xdr:row>25</xdr:row>
      <xdr:rowOff>27094</xdr:rowOff>
    </xdr:to>
    <xdr:sp macro="" textlink="">
      <xdr:nvSpPr>
        <xdr:cNvPr id="120" name="Flowchart: Connector 119"/>
        <xdr:cNvSpPr/>
      </xdr:nvSpPr>
      <xdr:spPr>
        <a:xfrm>
          <a:off x="7375072" y="3088567"/>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65</xdr:col>
      <xdr:colOff>81225</xdr:colOff>
      <xdr:row>22</xdr:row>
      <xdr:rowOff>43543</xdr:rowOff>
    </xdr:from>
    <xdr:to>
      <xdr:col>66</xdr:col>
      <xdr:colOff>25971</xdr:colOff>
      <xdr:row>22</xdr:row>
      <xdr:rowOff>111713</xdr:rowOff>
    </xdr:to>
    <xdr:sp macro="" textlink="">
      <xdr:nvSpPr>
        <xdr:cNvPr id="121" name="Flowchart: Connector 120"/>
        <xdr:cNvSpPr/>
      </xdr:nvSpPr>
      <xdr:spPr>
        <a:xfrm>
          <a:off x="7380096" y="279762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65</xdr:col>
      <xdr:colOff>81225</xdr:colOff>
      <xdr:row>19</xdr:row>
      <xdr:rowOff>97971</xdr:rowOff>
    </xdr:from>
    <xdr:to>
      <xdr:col>66</xdr:col>
      <xdr:colOff>25971</xdr:colOff>
      <xdr:row>20</xdr:row>
      <xdr:rowOff>40956</xdr:rowOff>
    </xdr:to>
    <xdr:sp macro="" textlink="">
      <xdr:nvSpPr>
        <xdr:cNvPr id="122" name="Flowchart: Connector 121"/>
        <xdr:cNvSpPr/>
      </xdr:nvSpPr>
      <xdr:spPr>
        <a:xfrm>
          <a:off x="7380096" y="2476500"/>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70</xdr:col>
      <xdr:colOff>70339</xdr:colOff>
      <xdr:row>22</xdr:row>
      <xdr:rowOff>38100</xdr:rowOff>
    </xdr:from>
    <xdr:to>
      <xdr:col>71</xdr:col>
      <xdr:colOff>15085</xdr:colOff>
      <xdr:row>22</xdr:row>
      <xdr:rowOff>106270</xdr:rowOff>
    </xdr:to>
    <xdr:sp macro="" textlink="">
      <xdr:nvSpPr>
        <xdr:cNvPr id="124" name="Flowchart: Connector 123"/>
        <xdr:cNvSpPr/>
      </xdr:nvSpPr>
      <xdr:spPr>
        <a:xfrm>
          <a:off x="7940710" y="279218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70</xdr:col>
      <xdr:colOff>70339</xdr:colOff>
      <xdr:row>19</xdr:row>
      <xdr:rowOff>92528</xdr:rowOff>
    </xdr:from>
    <xdr:to>
      <xdr:col>71</xdr:col>
      <xdr:colOff>15085</xdr:colOff>
      <xdr:row>20</xdr:row>
      <xdr:rowOff>35513</xdr:rowOff>
    </xdr:to>
    <xdr:sp macro="" textlink="">
      <xdr:nvSpPr>
        <xdr:cNvPr id="125" name="Flowchart: Connector 124"/>
        <xdr:cNvSpPr/>
      </xdr:nvSpPr>
      <xdr:spPr>
        <a:xfrm>
          <a:off x="7940710" y="2471057"/>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21</xdr:col>
      <xdr:colOff>83361</xdr:colOff>
      <xdr:row>26</xdr:row>
      <xdr:rowOff>104670</xdr:rowOff>
    </xdr:from>
    <xdr:to>
      <xdr:col>22</xdr:col>
      <xdr:colOff>28107</xdr:colOff>
      <xdr:row>27</xdr:row>
      <xdr:rowOff>47655</xdr:rowOff>
    </xdr:to>
    <xdr:sp macro="" textlink="">
      <xdr:nvSpPr>
        <xdr:cNvPr id="126" name="Flowchart: Connector 125"/>
        <xdr:cNvSpPr/>
      </xdr:nvSpPr>
      <xdr:spPr>
        <a:xfrm>
          <a:off x="2287718" y="335949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25</xdr:col>
      <xdr:colOff>76200</xdr:colOff>
      <xdr:row>26</xdr:row>
      <xdr:rowOff>76200</xdr:rowOff>
    </xdr:from>
    <xdr:to>
      <xdr:col>26</xdr:col>
      <xdr:colOff>20946</xdr:colOff>
      <xdr:row>27</xdr:row>
      <xdr:rowOff>19185</xdr:rowOff>
    </xdr:to>
    <xdr:sp macro="" textlink="">
      <xdr:nvSpPr>
        <xdr:cNvPr id="127" name="Flowchart: Connector 126"/>
        <xdr:cNvSpPr/>
      </xdr:nvSpPr>
      <xdr:spPr>
        <a:xfrm>
          <a:off x="2737757" y="333102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xdr:col>
      <xdr:colOff>83525</xdr:colOff>
      <xdr:row>24</xdr:row>
      <xdr:rowOff>17750</xdr:rowOff>
    </xdr:from>
    <xdr:to>
      <xdr:col>5</xdr:col>
      <xdr:colOff>28271</xdr:colOff>
      <xdr:row>24</xdr:row>
      <xdr:rowOff>85920</xdr:rowOff>
    </xdr:to>
    <xdr:sp macro="" textlink="">
      <xdr:nvSpPr>
        <xdr:cNvPr id="128" name="Flowchart: Connector 127"/>
        <xdr:cNvSpPr/>
      </xdr:nvSpPr>
      <xdr:spPr>
        <a:xfrm>
          <a:off x="540725" y="3022207"/>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xdr:col>
      <xdr:colOff>88549</xdr:colOff>
      <xdr:row>21</xdr:row>
      <xdr:rowOff>102369</xdr:rowOff>
    </xdr:from>
    <xdr:to>
      <xdr:col>5</xdr:col>
      <xdr:colOff>33295</xdr:colOff>
      <xdr:row>22</xdr:row>
      <xdr:rowOff>45353</xdr:rowOff>
    </xdr:to>
    <xdr:sp macro="" textlink="">
      <xdr:nvSpPr>
        <xdr:cNvPr id="129" name="Flowchart: Connector 128"/>
        <xdr:cNvSpPr/>
      </xdr:nvSpPr>
      <xdr:spPr>
        <a:xfrm>
          <a:off x="545749" y="2731269"/>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4</xdr:col>
      <xdr:colOff>88549</xdr:colOff>
      <xdr:row>19</xdr:row>
      <xdr:rowOff>31611</xdr:rowOff>
    </xdr:from>
    <xdr:to>
      <xdr:col>5</xdr:col>
      <xdr:colOff>33295</xdr:colOff>
      <xdr:row>19</xdr:row>
      <xdr:rowOff>99781</xdr:rowOff>
    </xdr:to>
    <xdr:sp macro="" textlink="">
      <xdr:nvSpPr>
        <xdr:cNvPr id="130" name="Flowchart: Connector 129"/>
        <xdr:cNvSpPr/>
      </xdr:nvSpPr>
      <xdr:spPr>
        <a:xfrm>
          <a:off x="545749" y="2410140"/>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11</xdr:col>
      <xdr:colOff>78082</xdr:colOff>
      <xdr:row>24</xdr:row>
      <xdr:rowOff>28636</xdr:rowOff>
    </xdr:from>
    <xdr:to>
      <xdr:col>12</xdr:col>
      <xdr:colOff>22828</xdr:colOff>
      <xdr:row>24</xdr:row>
      <xdr:rowOff>96806</xdr:rowOff>
    </xdr:to>
    <xdr:sp macro="" textlink="">
      <xdr:nvSpPr>
        <xdr:cNvPr id="131" name="Flowchart: Connector 130"/>
        <xdr:cNvSpPr/>
      </xdr:nvSpPr>
      <xdr:spPr>
        <a:xfrm>
          <a:off x="1286396" y="3033093"/>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11</xdr:col>
      <xdr:colOff>83106</xdr:colOff>
      <xdr:row>21</xdr:row>
      <xdr:rowOff>113255</xdr:rowOff>
    </xdr:from>
    <xdr:to>
      <xdr:col>12</xdr:col>
      <xdr:colOff>27852</xdr:colOff>
      <xdr:row>22</xdr:row>
      <xdr:rowOff>56239</xdr:rowOff>
    </xdr:to>
    <xdr:sp macro="" textlink="">
      <xdr:nvSpPr>
        <xdr:cNvPr id="132" name="Flowchart: Connector 131"/>
        <xdr:cNvSpPr/>
      </xdr:nvSpPr>
      <xdr:spPr>
        <a:xfrm>
          <a:off x="1291420" y="2742155"/>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11</xdr:col>
      <xdr:colOff>83106</xdr:colOff>
      <xdr:row>19</xdr:row>
      <xdr:rowOff>42497</xdr:rowOff>
    </xdr:from>
    <xdr:to>
      <xdr:col>12</xdr:col>
      <xdr:colOff>27852</xdr:colOff>
      <xdr:row>19</xdr:row>
      <xdr:rowOff>110667</xdr:rowOff>
    </xdr:to>
    <xdr:sp macro="" textlink="">
      <xdr:nvSpPr>
        <xdr:cNvPr id="133" name="Flowchart: Connector 132"/>
        <xdr:cNvSpPr/>
      </xdr:nvSpPr>
      <xdr:spPr>
        <a:xfrm>
          <a:off x="1291420" y="2421026"/>
          <a:ext cx="59046" cy="6817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71</xdr:col>
      <xdr:colOff>1</xdr:colOff>
      <xdr:row>19</xdr:row>
      <xdr:rowOff>59872</xdr:rowOff>
    </xdr:from>
    <xdr:to>
      <xdr:col>71</xdr:col>
      <xdr:colOff>11724</xdr:colOff>
      <xdr:row>25</xdr:row>
      <xdr:rowOff>22608</xdr:rowOff>
    </xdr:to>
    <xdr:cxnSp macro="">
      <xdr:nvCxnSpPr>
        <xdr:cNvPr id="134" name="Straight Connector 133"/>
        <xdr:cNvCxnSpPr/>
      </xdr:nvCxnSpPr>
      <xdr:spPr>
        <a:xfrm rot="16200000" flipH="1">
          <a:off x="7633609" y="2789464"/>
          <a:ext cx="713850" cy="1172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421822</xdr:colOff>
      <xdr:row>13</xdr:row>
      <xdr:rowOff>149678</xdr:rowOff>
    </xdr:from>
    <xdr:to>
      <xdr:col>10</xdr:col>
      <xdr:colOff>217714</xdr:colOff>
      <xdr:row>15</xdr:row>
      <xdr:rowOff>54428</xdr:rowOff>
    </xdr:to>
    <xdr:sp macro="" textlink="">
      <xdr:nvSpPr>
        <xdr:cNvPr id="19" name="5-Point Star 18"/>
        <xdr:cNvSpPr/>
      </xdr:nvSpPr>
      <xdr:spPr>
        <a:xfrm>
          <a:off x="4871358" y="3252107"/>
          <a:ext cx="258535" cy="231321"/>
        </a:xfrm>
        <a:prstGeom prst="star5">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10</xdr:col>
      <xdr:colOff>219125</xdr:colOff>
      <xdr:row>8</xdr:row>
      <xdr:rowOff>13607</xdr:rowOff>
    </xdr:from>
    <xdr:to>
      <xdr:col>10</xdr:col>
      <xdr:colOff>223345</xdr:colOff>
      <xdr:row>11</xdr:row>
      <xdr:rowOff>137949</xdr:rowOff>
    </xdr:to>
    <xdr:cxnSp macro="">
      <xdr:nvCxnSpPr>
        <xdr:cNvPr id="21" name="Straight Arrow Connector 20"/>
        <xdr:cNvCxnSpPr/>
      </xdr:nvCxnSpPr>
      <xdr:spPr>
        <a:xfrm rot="16200000" flipV="1">
          <a:off x="4865728" y="2619142"/>
          <a:ext cx="617014" cy="4220"/>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235689</xdr:colOff>
      <xdr:row>19</xdr:row>
      <xdr:rowOff>119035</xdr:rowOff>
    </xdr:from>
    <xdr:to>
      <xdr:col>15</xdr:col>
      <xdr:colOff>237277</xdr:colOff>
      <xdr:row>24</xdr:row>
      <xdr:rowOff>13932</xdr:rowOff>
    </xdr:to>
    <xdr:cxnSp macro="">
      <xdr:nvCxnSpPr>
        <xdr:cNvPr id="24" name="Straight Arrow Connector 23"/>
        <xdr:cNvCxnSpPr/>
      </xdr:nvCxnSpPr>
      <xdr:spPr>
        <a:xfrm rot="5400000">
          <a:off x="7163457" y="4581853"/>
          <a:ext cx="716018" cy="1588"/>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249621</xdr:colOff>
      <xdr:row>14</xdr:row>
      <xdr:rowOff>91966</xdr:rowOff>
    </xdr:from>
    <xdr:to>
      <xdr:col>1</xdr:col>
      <xdr:colOff>295604</xdr:colOff>
      <xdr:row>14</xdr:row>
      <xdr:rowOff>98535</xdr:rowOff>
    </xdr:to>
    <xdr:cxnSp macro="">
      <xdr:nvCxnSpPr>
        <xdr:cNvPr id="29" name="Straight Arrow Connector 28"/>
        <xdr:cNvCxnSpPr/>
      </xdr:nvCxnSpPr>
      <xdr:spPr>
        <a:xfrm rot="10800000">
          <a:off x="249621" y="3376449"/>
          <a:ext cx="801414" cy="6569"/>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50911</xdr:colOff>
      <xdr:row>11</xdr:row>
      <xdr:rowOff>141831</xdr:rowOff>
    </xdr:from>
    <xdr:to>
      <xdr:col>2</xdr:col>
      <xdr:colOff>129740</xdr:colOff>
      <xdr:row>12</xdr:row>
      <xdr:rowOff>108985</xdr:rowOff>
    </xdr:to>
    <xdr:sp macro="" textlink="">
      <xdr:nvSpPr>
        <xdr:cNvPr id="42" name="Chevron 41"/>
        <xdr:cNvSpPr/>
      </xdr:nvSpPr>
      <xdr:spPr>
        <a:xfrm rot="16200000">
          <a:off x="1247584" y="2919681"/>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201997</xdr:colOff>
      <xdr:row>11</xdr:row>
      <xdr:rowOff>148399</xdr:rowOff>
    </xdr:from>
    <xdr:to>
      <xdr:col>2</xdr:col>
      <xdr:colOff>280826</xdr:colOff>
      <xdr:row>12</xdr:row>
      <xdr:rowOff>115553</xdr:rowOff>
    </xdr:to>
    <xdr:sp macro="" textlink="">
      <xdr:nvSpPr>
        <xdr:cNvPr id="43" name="Chevron 42"/>
        <xdr:cNvSpPr/>
      </xdr:nvSpPr>
      <xdr:spPr>
        <a:xfrm rot="16200000">
          <a:off x="1398670" y="2926249"/>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346513</xdr:colOff>
      <xdr:row>11</xdr:row>
      <xdr:rowOff>148398</xdr:rowOff>
    </xdr:from>
    <xdr:to>
      <xdr:col>2</xdr:col>
      <xdr:colOff>426537</xdr:colOff>
      <xdr:row>12</xdr:row>
      <xdr:rowOff>115552</xdr:rowOff>
    </xdr:to>
    <xdr:sp macro="" textlink="">
      <xdr:nvSpPr>
        <xdr:cNvPr id="44" name="Chevron 43"/>
        <xdr:cNvSpPr/>
      </xdr:nvSpPr>
      <xdr:spPr>
        <a:xfrm rot="16200000">
          <a:off x="1543783" y="2925651"/>
          <a:ext cx="127347" cy="80024"/>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51956</xdr:colOff>
      <xdr:row>10</xdr:row>
      <xdr:rowOff>82261</xdr:rowOff>
    </xdr:from>
    <xdr:to>
      <xdr:col>2</xdr:col>
      <xdr:colOff>130785</xdr:colOff>
      <xdr:row>11</xdr:row>
      <xdr:rowOff>49415</xdr:rowOff>
    </xdr:to>
    <xdr:sp macro="" textlink="">
      <xdr:nvSpPr>
        <xdr:cNvPr id="45" name="Chevron 44"/>
        <xdr:cNvSpPr/>
      </xdr:nvSpPr>
      <xdr:spPr>
        <a:xfrm rot="16200000">
          <a:off x="1248629" y="2699918"/>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203042</xdr:colOff>
      <xdr:row>10</xdr:row>
      <xdr:rowOff>88829</xdr:rowOff>
    </xdr:from>
    <xdr:to>
      <xdr:col>2</xdr:col>
      <xdr:colOff>281871</xdr:colOff>
      <xdr:row>11</xdr:row>
      <xdr:rowOff>55983</xdr:rowOff>
    </xdr:to>
    <xdr:sp macro="" textlink="">
      <xdr:nvSpPr>
        <xdr:cNvPr id="46" name="Chevron 45"/>
        <xdr:cNvSpPr/>
      </xdr:nvSpPr>
      <xdr:spPr>
        <a:xfrm rot="16200000">
          <a:off x="1399715" y="2706486"/>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347558</xdr:colOff>
      <xdr:row>10</xdr:row>
      <xdr:rowOff>88828</xdr:rowOff>
    </xdr:from>
    <xdr:to>
      <xdr:col>2</xdr:col>
      <xdr:colOff>427582</xdr:colOff>
      <xdr:row>11</xdr:row>
      <xdr:rowOff>55982</xdr:rowOff>
    </xdr:to>
    <xdr:sp macro="" textlink="">
      <xdr:nvSpPr>
        <xdr:cNvPr id="47" name="Chevron 46"/>
        <xdr:cNvSpPr/>
      </xdr:nvSpPr>
      <xdr:spPr>
        <a:xfrm rot="16200000">
          <a:off x="1544828" y="2705888"/>
          <a:ext cx="127347" cy="80024"/>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47625</xdr:colOff>
      <xdr:row>17</xdr:row>
      <xdr:rowOff>133172</xdr:rowOff>
    </xdr:from>
    <xdr:to>
      <xdr:col>2</xdr:col>
      <xdr:colOff>126454</xdr:colOff>
      <xdr:row>18</xdr:row>
      <xdr:rowOff>100326</xdr:rowOff>
    </xdr:to>
    <xdr:sp macro="" textlink="">
      <xdr:nvSpPr>
        <xdr:cNvPr id="48" name="Chevron 47"/>
        <xdr:cNvSpPr/>
      </xdr:nvSpPr>
      <xdr:spPr>
        <a:xfrm rot="16200000">
          <a:off x="1244298" y="3872181"/>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198711</xdr:colOff>
      <xdr:row>17</xdr:row>
      <xdr:rowOff>139740</xdr:rowOff>
    </xdr:from>
    <xdr:to>
      <xdr:col>2</xdr:col>
      <xdr:colOff>277540</xdr:colOff>
      <xdr:row>18</xdr:row>
      <xdr:rowOff>106894</xdr:rowOff>
    </xdr:to>
    <xdr:sp macro="" textlink="">
      <xdr:nvSpPr>
        <xdr:cNvPr id="49" name="Chevron 48"/>
        <xdr:cNvSpPr/>
      </xdr:nvSpPr>
      <xdr:spPr>
        <a:xfrm rot="16200000">
          <a:off x="1395384" y="3878749"/>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343227</xdr:colOff>
      <xdr:row>17</xdr:row>
      <xdr:rowOff>139739</xdr:rowOff>
    </xdr:from>
    <xdr:to>
      <xdr:col>2</xdr:col>
      <xdr:colOff>423251</xdr:colOff>
      <xdr:row>18</xdr:row>
      <xdr:rowOff>106893</xdr:rowOff>
    </xdr:to>
    <xdr:sp macro="" textlink="">
      <xdr:nvSpPr>
        <xdr:cNvPr id="50" name="Chevron 49"/>
        <xdr:cNvSpPr/>
      </xdr:nvSpPr>
      <xdr:spPr>
        <a:xfrm rot="16200000">
          <a:off x="1540497" y="3878151"/>
          <a:ext cx="127347" cy="80024"/>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48670</xdr:colOff>
      <xdr:row>16</xdr:row>
      <xdr:rowOff>73602</xdr:rowOff>
    </xdr:from>
    <xdr:to>
      <xdr:col>2</xdr:col>
      <xdr:colOff>127499</xdr:colOff>
      <xdr:row>17</xdr:row>
      <xdr:rowOff>40756</xdr:rowOff>
    </xdr:to>
    <xdr:sp macro="" textlink="">
      <xdr:nvSpPr>
        <xdr:cNvPr id="51" name="Chevron 50"/>
        <xdr:cNvSpPr/>
      </xdr:nvSpPr>
      <xdr:spPr>
        <a:xfrm rot="16200000">
          <a:off x="1245343" y="3652418"/>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199756</xdr:colOff>
      <xdr:row>16</xdr:row>
      <xdr:rowOff>80170</xdr:rowOff>
    </xdr:from>
    <xdr:to>
      <xdr:col>2</xdr:col>
      <xdr:colOff>278585</xdr:colOff>
      <xdr:row>17</xdr:row>
      <xdr:rowOff>47324</xdr:rowOff>
    </xdr:to>
    <xdr:sp macro="" textlink="">
      <xdr:nvSpPr>
        <xdr:cNvPr id="52" name="Chevron 51"/>
        <xdr:cNvSpPr/>
      </xdr:nvSpPr>
      <xdr:spPr>
        <a:xfrm rot="16200000">
          <a:off x="1396429" y="3658986"/>
          <a:ext cx="127347" cy="78829"/>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2</xdr:col>
      <xdr:colOff>344272</xdr:colOff>
      <xdr:row>16</xdr:row>
      <xdr:rowOff>80169</xdr:rowOff>
    </xdr:from>
    <xdr:to>
      <xdr:col>2</xdr:col>
      <xdr:colOff>424296</xdr:colOff>
      <xdr:row>17</xdr:row>
      <xdr:rowOff>47323</xdr:rowOff>
    </xdr:to>
    <xdr:sp macro="" textlink="">
      <xdr:nvSpPr>
        <xdr:cNvPr id="53" name="Chevron 52"/>
        <xdr:cNvSpPr/>
      </xdr:nvSpPr>
      <xdr:spPr>
        <a:xfrm rot="16200000">
          <a:off x="1541542" y="3658388"/>
          <a:ext cx="127347" cy="80024"/>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chemeClr val="tx1"/>
            </a:solidFill>
          </a:endParaRPr>
        </a:p>
      </xdr:txBody>
    </xdr:sp>
    <xdr:clientData/>
  </xdr:twoCellAnchor>
  <xdr:twoCellAnchor>
    <xdr:from>
      <xdr:col>5</xdr:col>
      <xdr:colOff>356152</xdr:colOff>
      <xdr:row>17</xdr:row>
      <xdr:rowOff>33131</xdr:rowOff>
    </xdr:from>
    <xdr:to>
      <xdr:col>8</xdr:col>
      <xdr:colOff>16565</xdr:colOff>
      <xdr:row>20</xdr:row>
      <xdr:rowOff>0</xdr:rowOff>
    </xdr:to>
    <xdr:sp macro="" textlink="">
      <xdr:nvSpPr>
        <xdr:cNvPr id="54" name="Round Same Side Corner Rectangle 53"/>
        <xdr:cNvSpPr/>
      </xdr:nvSpPr>
      <xdr:spPr>
        <a:xfrm>
          <a:off x="2965174" y="3834848"/>
          <a:ext cx="1051891" cy="463826"/>
        </a:xfrm>
        <a:prstGeom prst="round2SameRect">
          <a:avLst/>
        </a:prstGeom>
      </xdr:spPr>
      <xdr:style>
        <a:lnRef idx="2">
          <a:schemeClr val="accent6"/>
        </a:lnRef>
        <a:fillRef idx="1">
          <a:schemeClr val="lt1"/>
        </a:fillRef>
        <a:effectRef idx="0">
          <a:schemeClr val="accent6"/>
        </a:effectRef>
        <a:fontRef idx="minor">
          <a:schemeClr val="dk1"/>
        </a:fontRef>
      </xdr:style>
      <xdr:txBody>
        <a:bodyPr rtlCol="0" anchor="ctr"/>
        <a:lstStyle/>
        <a:p>
          <a:pPr algn="ctr"/>
          <a:r>
            <a:rPr lang="en-US" sz="1000"/>
            <a:t>Yadava Colony </a:t>
          </a:r>
          <a:r>
            <a:rPr lang="en-US" sz="900"/>
            <a:t>Drainage</a:t>
          </a:r>
          <a:r>
            <a:rPr lang="en-US" sz="1000"/>
            <a:t> proposed</a:t>
          </a:r>
        </a:p>
      </xdr:txBody>
    </xdr:sp>
    <xdr:clientData/>
  </xdr:twoCellAnchor>
  <xdr:twoCellAnchor>
    <xdr:from>
      <xdr:col>4</xdr:col>
      <xdr:colOff>455543</xdr:colOff>
      <xdr:row>15</xdr:row>
      <xdr:rowOff>82826</xdr:rowOff>
    </xdr:from>
    <xdr:to>
      <xdr:col>7</xdr:col>
      <xdr:colOff>248478</xdr:colOff>
      <xdr:row>15</xdr:row>
      <xdr:rowOff>128545</xdr:rowOff>
    </xdr:to>
    <xdr:sp macro="" textlink="">
      <xdr:nvSpPr>
        <xdr:cNvPr id="55" name="Flowchart: Process 54"/>
        <xdr:cNvSpPr/>
      </xdr:nvSpPr>
      <xdr:spPr>
        <a:xfrm>
          <a:off x="2600739" y="3553239"/>
          <a:ext cx="1184413" cy="45719"/>
        </a:xfrm>
        <a:prstGeom prst="flowChartProcess">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xdr:col>
      <xdr:colOff>115738</xdr:colOff>
      <xdr:row>15</xdr:row>
      <xdr:rowOff>77595</xdr:rowOff>
    </xdr:from>
    <xdr:to>
      <xdr:col>5</xdr:col>
      <xdr:colOff>206847</xdr:colOff>
      <xdr:row>15</xdr:row>
      <xdr:rowOff>146907</xdr:rowOff>
    </xdr:to>
    <xdr:sp macro="" textlink="">
      <xdr:nvSpPr>
        <xdr:cNvPr id="56" name="Flowchart: Connector 55"/>
        <xdr:cNvSpPr/>
      </xdr:nvSpPr>
      <xdr:spPr>
        <a:xfrm>
          <a:off x="2732606" y="3476516"/>
          <a:ext cx="91109" cy="6931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5</xdr:col>
      <xdr:colOff>301412</xdr:colOff>
      <xdr:row>15</xdr:row>
      <xdr:rowOff>79977</xdr:rowOff>
    </xdr:from>
    <xdr:to>
      <xdr:col>5</xdr:col>
      <xdr:colOff>390932</xdr:colOff>
      <xdr:row>15</xdr:row>
      <xdr:rowOff>151490</xdr:rowOff>
    </xdr:to>
    <xdr:sp macro="" textlink="">
      <xdr:nvSpPr>
        <xdr:cNvPr id="57" name="Flowchart: Connector 56"/>
        <xdr:cNvSpPr/>
      </xdr:nvSpPr>
      <xdr:spPr>
        <a:xfrm>
          <a:off x="2912656" y="3508977"/>
          <a:ext cx="89520" cy="7151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xdr:col>
      <xdr:colOff>37171</xdr:colOff>
      <xdr:row>15</xdr:row>
      <xdr:rowOff>78988</xdr:rowOff>
    </xdr:from>
    <xdr:to>
      <xdr:col>6</xdr:col>
      <xdr:colOff>128280</xdr:colOff>
      <xdr:row>15</xdr:row>
      <xdr:rowOff>148300</xdr:rowOff>
    </xdr:to>
    <xdr:sp macro="" textlink="">
      <xdr:nvSpPr>
        <xdr:cNvPr id="58" name="Flowchart: Connector 57"/>
        <xdr:cNvSpPr/>
      </xdr:nvSpPr>
      <xdr:spPr>
        <a:xfrm>
          <a:off x="3113049" y="3507988"/>
          <a:ext cx="91109" cy="6931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xdr:col>
      <xdr:colOff>222845</xdr:colOff>
      <xdr:row>15</xdr:row>
      <xdr:rowOff>76724</xdr:rowOff>
    </xdr:from>
    <xdr:to>
      <xdr:col>6</xdr:col>
      <xdr:colOff>312365</xdr:colOff>
      <xdr:row>15</xdr:row>
      <xdr:rowOff>148237</xdr:rowOff>
    </xdr:to>
    <xdr:sp macro="" textlink="">
      <xdr:nvSpPr>
        <xdr:cNvPr id="59" name="Flowchart: Connector 58"/>
        <xdr:cNvSpPr/>
      </xdr:nvSpPr>
      <xdr:spPr>
        <a:xfrm>
          <a:off x="3298723" y="3505724"/>
          <a:ext cx="89520" cy="7151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6</xdr:col>
      <xdr:colOff>381000</xdr:colOff>
      <xdr:row>15</xdr:row>
      <xdr:rowOff>81252</xdr:rowOff>
    </xdr:from>
    <xdr:to>
      <xdr:col>7</xdr:col>
      <xdr:colOff>7475</xdr:colOff>
      <xdr:row>15</xdr:row>
      <xdr:rowOff>150564</xdr:rowOff>
    </xdr:to>
    <xdr:sp macro="" textlink="">
      <xdr:nvSpPr>
        <xdr:cNvPr id="60" name="Flowchart: Connector 59"/>
        <xdr:cNvSpPr/>
      </xdr:nvSpPr>
      <xdr:spPr>
        <a:xfrm>
          <a:off x="3456878" y="3510252"/>
          <a:ext cx="91109" cy="6931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twoCellAnchor>
    <xdr:from>
      <xdr:col>7</xdr:col>
      <xdr:colOff>102040</xdr:colOff>
      <xdr:row>15</xdr:row>
      <xdr:rowOff>78988</xdr:rowOff>
    </xdr:from>
    <xdr:to>
      <xdr:col>7</xdr:col>
      <xdr:colOff>191560</xdr:colOff>
      <xdr:row>15</xdr:row>
      <xdr:rowOff>150501</xdr:rowOff>
    </xdr:to>
    <xdr:sp macro="" textlink="">
      <xdr:nvSpPr>
        <xdr:cNvPr id="61" name="Flowchart: Connector 60"/>
        <xdr:cNvSpPr/>
      </xdr:nvSpPr>
      <xdr:spPr>
        <a:xfrm>
          <a:off x="3642552" y="3507988"/>
          <a:ext cx="89520" cy="71513"/>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iramma\e\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iramma\e\Estimates\pmgsy\Deverakonda\87.Gazinaga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diramma\e\Estimates\pmgsy\Package1304\07.1.package130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bsection_1\g\singh\db1\BIJNEPALLY\VATTE_PALEM_CD3_WORK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Rajape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Indiramma\e\Estimates\Buildings\MPP_Buildings\mpp%20estimate%20NADIGUDE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ndiramma\e\Estimates\pmgsy-phase4\Thungathurthy\Thirumalagiri-Thatipamula-sri%20ram%20tanda\CD%20work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bsection_1\g\My%20Music\My%20Documents\Narsimha\CD-ESTT%20&amp;%20CD-DATA-MODE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Indiramma\e\Documents\Buildings\Data\data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bh%20Nabard\shaligouraram.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Phase-V\Thungathurthy\PMGSY%20Thorrur-bhukya%20tanda\pmgsy-thorrur%20bukya%20tanda-mord-data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GP%20Building%201\New%20Folder\models%20of%20Nalgonda\Phase-V\Thungathurthy\PMGSY%20Thorrur-bhukya%20tanda\pmgsy-thorrur%20bukya%20tanda-mord-data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arshad/UGD%20DUVVUR4-7-17.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GP%20Building%201\New%20Folder\models%20of%20Nalgonda\PMGSY-I%20BAL-04-05\Road%20from%206-0%20km%20of%20T01%20to%20Balwanthapur%20(Mal-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bsection_1\g\PMGSY-I%20BAL-04-05\Road%20from%206-0%20km%20of%20T01%20to%20Balwanthapur%20(Mal-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epr1\my%20documents\BT%20RENEWAL%20-%20WORKING%20-%20DURSAGANIPALLY.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eprnab1-nab4\d\AVRCR\Documents%20and%20Settings\hcl\Desktop\ARRR-ver-110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GP%20Building%201\New%20Folder\models%20of%20Nalgonda\Documents%20and%20Settings\hcl\Desktop\ARRR-ver-110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GP%20Building%201\New%20Folder\models%20of%20Nalgonda\Phase-V\ARRR-ver-1104-Chandegaon.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ARRR-ver-110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Indiramma\e\Estimates\Nabard\Deverakonda\Koppole_bollaram\Est_KB.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OFFICE%20%20FILES\PMGSY\Thorough%20Roads\ARRR%20JANNEPALLY.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eprnab1-nab4\d\AVRCR\Documents%20and%20Settings\RAMU\Desktop\ARRR-ver-1105-vsr.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bsection_1\g\Old%20system%20files\Narsimha\singh\db1\BIJNEPALLY\VATTE_PALEM_CD3_WORKS.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Indiramma\e\Levels\Kodad\Adloor\Dondapadu-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epr5\my%20documents\Documents%20and%20Settings\cvssubrahmanyam.SVPCPL\Desktop\PR%20New\My%20Documents\docu\docu\R&amp;B%20Dept.%20Estimates\East-Section.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Indiramma\e\Estimates\Buildings\Mpp_newplan\Nalgonda\MPP_Vemulapally.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epr5\my%20documents\My%20Documents\WORKING%20VENU\GATTUSINGARAM%20WORKING.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bsection_1\g\Estimates\Buildings\Mpp_newplan\Miryalaguda\MPP_Gundlapally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Indiramma\e\Estimates\Buildings\Mpp_newplan\Miryalaguda\MPP_Gundlapally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VISHNU%20JI/2022-23%20MRR%20FDR/1)%20ESTIMATE%20-%20RAVULAPALLY.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Madgul%20Project%20UGD%202024/1%20UGD%20in%20Yadava%20Colony.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Users\HP\Downloads\Model%20Estimate.L%202024-25%20%20SEP%20BT%20St%20cem%20-%20drainage%20(1).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VISHNU%20JI/Amangal/14-11-2024/PRSD%20Amangal/Madgul%20Project%20UGD%202024/1%20UGD%20in%20Yadava%20Colony.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bsection_1\g\d%20drive\T8-Satya%20Prasad\Data%20of%20Sewer%20lines\Documents%20and%20Settings\Administrator\Desktop\Nerellapally%202.00.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02%20Yadava%20Colony%2001-12-24.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Madgul%20Project%20UGD%202024/Model%20Estimates/Model%20Estimates/Mokhila/Mokila%20UGD%20Est%20Page%20Steup%2019_7.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Users\HP\Downloads\Model%20Estimate.L%202024-25%20%20SEP%20BT%20St%20cem%20-%20drainage.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tender%20and%20related/tenders/kokapet/kokapet%20grade%20separator/kokapet%2008102020/Estimate%20for%20Kokapet%20UGD%20%202019_20for68%20Cr'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_(2)1"/>
      <sheetName val="1v900"/>
      <sheetName val="2v900"/>
      <sheetName val="3v900"/>
      <sheetName val="impRdam"/>
      <sheetName val="lchart"/>
      <sheetName val="lchart1"/>
      <sheetName val="CDdata_(2)"/>
      <sheetName val="CDdata (2)"/>
      <sheetName val="Material"/>
      <sheetName val="Works"/>
      <sheetName val="RMR"/>
      <sheetName val="General"/>
      <sheetName val="rdamdata"/>
      <sheetName val="lead-st"/>
      <sheetName val="Sheet1"/>
      <sheetName val="Lead"/>
      <sheetName val="Materials"/>
      <sheetName val="Data "/>
      <sheetName val="Retaing"/>
      <sheetName val="Abstract(F6)"/>
      <sheetName val="detls"/>
      <sheetName val="bom"/>
      <sheetName val="Material "/>
      <sheetName val="ANALYSIS"/>
      <sheetName val="r"/>
      <sheetName val="HDPE"/>
      <sheetName val="DI"/>
      <sheetName val="pvc"/>
      <sheetName val="t_prsr"/>
      <sheetName val="wh"/>
      <sheetName val="CDdata_(2)5"/>
      <sheetName val="Data_2"/>
      <sheetName val="CDdata_(2)3"/>
      <sheetName val="CDdata_(2)2"/>
      <sheetName val="Data_"/>
      <sheetName val="CDdata_(2)4"/>
      <sheetName val="Data_1"/>
      <sheetName val="Labour"/>
      <sheetName val="Plant &amp;  Machinery"/>
      <sheetName val="Bridge Data 2005-06"/>
      <sheetName val="Fee Rate Summary"/>
      <sheetName val="EDWise"/>
      <sheetName val="Design"/>
      <sheetName val="pvc_basic"/>
      <sheetName val="GN_ST_10"/>
      <sheetName val="PRECAST lightconc_II"/>
      <sheetName val="final abstract"/>
      <sheetName val="Rate Analysis"/>
      <sheetName val="Common "/>
      <sheetName val="Usage"/>
      <sheetName val="id"/>
      <sheetName val="C-data"/>
      <sheetName val="Datas"/>
      <sheetName val=" Brickwork Manhole "/>
      <sheetName val=" Estimate"/>
      <sheetName val="civ data"/>
      <sheetName val="Newabstract"/>
      <sheetName val="Specification"/>
      <sheetName val="DATA-BASE"/>
      <sheetName val="DATA-ABSTRACT"/>
      <sheetName val="Specification report"/>
      <sheetName val="BALAN1"/>
      <sheetName val="Voucher"/>
      <sheetName val="Estimate"/>
      <sheetName val="Abs"/>
      <sheetName val="maya"/>
      <sheetName val="Main sheet"/>
      <sheetName val="ci"/>
      <sheetName val="civil-works"/>
      <sheetName val="mlead"/>
      <sheetName val="m"/>
      <sheetName val="Road data"/>
      <sheetName val="data existing_do not delete"/>
      <sheetName val="CLEAR OVER FALL DROP"/>
      <sheetName val="ABS.C.D."/>
      <sheetName val="TOP SLAB-beams"/>
      <sheetName val="MRATES"/>
      <sheetName val="wh_data"/>
      <sheetName val="wh_data_R"/>
      <sheetName val="CPHEEO"/>
      <sheetName val="input"/>
      <sheetName val="SPT vs PHI"/>
      <sheetName val="sg-clay(d)"/>
      <sheetName val="DATA_PRG"/>
      <sheetName val="Rates"/>
      <sheetName val="v"/>
      <sheetName val="hdpe_basic"/>
      <sheetName val="CDdata_(2)6"/>
      <sheetName val="Data_3"/>
      <sheetName val="Plant_&amp;__Machinery"/>
      <sheetName val="Bridge_Data_2005-06"/>
      <sheetName val="final_abstract"/>
      <sheetName val="Specification_report"/>
      <sheetName val="Fee_Rate_Summary"/>
      <sheetName val="Rate_Analysis"/>
      <sheetName val="MRoad data"/>
      <sheetName val="Background"/>
      <sheetName val="Levels"/>
      <sheetName val="BTR"/>
      <sheetName val="Line"/>
      <sheetName val="abs road"/>
      <sheetName val="R_Det"/>
      <sheetName val="data.f8.btr"/>
      <sheetName val="BLK3"/>
      <sheetName val="BLK2"/>
      <sheetName val="E &amp; R"/>
      <sheetName val="radar"/>
      <sheetName val="UG"/>
      <sheetName val="Road Detail Est."/>
      <sheetName val="Lead2021-22"/>
      <sheetName val="Cem Date"/>
      <sheetName val="Sheet2"/>
      <sheetName val="Sanction dump"/>
      <sheetName val="clvrt_data"/>
      <sheetName val="road est"/>
      <sheetName val="capacity-ohsrs"/>
      <sheetName val="Miscellaneous"/>
      <sheetName val="Road_All"/>
      <sheetName val="WS SSR"/>
      <sheetName val="other rates"/>
      <sheetName val="Boq"/>
      <sheetName val="GF SB Ok "/>
      <sheetName val="p&amp;m"/>
      <sheetName val="W.ESTIMATE"/>
      <sheetName val="Road FURNITURE"/>
      <sheetName val="Gen Abst"/>
      <sheetName val="quarry"/>
      <sheetName val="MTC-estimate"/>
      <sheetName val="Gen Abs"/>
      <sheetName val="#REF"/>
      <sheetName val="Det Est"/>
      <sheetName val="estt"/>
      <sheetName val="lead chart"/>
      <sheetName val="3Shops_Abstract"/>
      <sheetName val="CivilSSR"/>
      <sheetName val="Det esti (2)"/>
      <sheetName val="white swan"/>
      <sheetName val="Black swan"/>
      <sheetName val="1"/>
      <sheetName val="windows"/>
      <sheetName val=" Doors flush &amp; Window"/>
      <sheetName val="Ele data "/>
      <sheetName val="Sanitary&amp;water supply DATA "/>
      <sheetName val="seing"/>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Input Data"/>
      <sheetName val="0000000000000"/>
      <sheetName val="data-WC"/>
      <sheetName val="Lead (Final)"/>
      <sheetName val="Steel"/>
      <sheetName val="Elec data"/>
      <sheetName val="Comp"/>
      <sheetName val="DATA 2021-22"/>
      <sheetName val="Staff Civil o&amp;m draft policy"/>
      <sheetName val="Abs_CD_2"/>
      <sheetName val="coverpage"/>
      <sheetName val="ECV"/>
      <sheetName val="SSR-rates"/>
      <sheetName val="basdat-f"/>
      <sheetName val="Sub -  Analysis"/>
      <sheetName val="Labour rates"/>
      <sheetName val="not req 3"/>
      <sheetName val="HDPE-pipe-rates"/>
      <sheetName val="pvc-pipe-rates"/>
      <sheetName val="Iocount"/>
      <sheetName val="mas_hab"/>
      <sheetName val="c.d.abs.est."/>
      <sheetName val="Nspt-smp-final-ORIGINAL"/>
      <sheetName val="Summary"/>
      <sheetName val="Labour &amp; Plant"/>
      <sheetName val="Prjt"/>
      <sheetName val="l"/>
      <sheetName val="02"/>
      <sheetName val="03"/>
      <sheetName val="04"/>
      <sheetName val="05"/>
      <sheetName val="hdpe weights"/>
      <sheetName val="PVC weights"/>
      <sheetName val="index"/>
      <sheetName val="PRELIM5"/>
      <sheetName val="m1"/>
      <sheetName val="AV-HDPE"/>
      <sheetName val="Di_gate-HDPE"/>
      <sheetName val="Valves"/>
      <sheetName val="MS Rates"/>
      <sheetName val="detail'02"/>
      <sheetName val="ANN I"/>
      <sheetName val="PVC_dia"/>
      <sheetName val="Municipal.Office "/>
      <sheetName val="11.Habitations"/>
      <sheetName val="Data_Bit_I"/>
      <sheetName val="2"/>
      <sheetName val="3"/>
      <sheetName val="4"/>
      <sheetName val="DATA-2005-06"/>
      <sheetName val="ewst"/>
      <sheetName val="Speci"/>
      <sheetName val="pvc &amp; hdpe 3"/>
      <sheetName val="ew OG manual "/>
      <sheetName val="boredetails"/>
      <sheetName val="RAFT"/>
      <sheetName val="Proforma -II "/>
      <sheetName val="1V800"/>
      <sheetName val="Work_sheet"/>
      <sheetName val="SUMP1420KL@H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C3">
            <v>0</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Fee Rate Summary"/>
      <sheetName val="Basement Budget"/>
      <sheetName val="RECAPITULATION"/>
      <sheetName val="Rate analysis"/>
      <sheetName val="Break up Sheet"/>
      <sheetName val="TBAL9697 -group wise  sdpl"/>
      <sheetName val="B &amp; C - M - ccp"/>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Field Values"/>
      <sheetName val="Rates"/>
      <sheetName val="PH data"/>
      <sheetName val="labour"/>
      <sheetName val="Details (3)"/>
      <sheetName val="Rates-May-14"/>
      <sheetName val="rdamdata"/>
      <sheetName val="Estimate "/>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A"/>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Lead"/>
      <sheetName val="Usage"/>
      <sheetName val="Common "/>
      <sheetName val="General"/>
      <sheetName val="Config"/>
      <sheetName val="Break Dw"/>
      <sheetName val="MES-SEC"/>
      <sheetName val="Data"/>
      <sheetName val="Analy_7-10"/>
      <sheetName val="INDORAMA Group June 02"/>
      <sheetName val="SPT vs PHI"/>
      <sheetName val="Civil Boq"/>
      <sheetName val="beam-reinft-IIInd floor"/>
      <sheetName val="Design"/>
      <sheetName val="Desgn(zone I)"/>
      <sheetName val="PA- Consutant "/>
      <sheetName val="Debits as on 12.04.08"/>
      <sheetName val="THK"/>
      <sheetName val="FitOutConfCentre"/>
      <sheetName val="PART-I_(2)"/>
      <sheetName val="final_abstract"/>
      <sheetName val="INPUT-DATA1"/>
      <sheetName val="VCH-SLC"/>
      <sheetName val="Supplier"/>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RES-PLANNING"/>
      <sheetName val="col-reinft1"/>
      <sheetName val="FORM7"/>
      <sheetName val="RCC,Ret. Wall"/>
      <sheetName val="Build-up"/>
      <sheetName val="RA 4 Challan Summary "/>
      <sheetName val="p&amp;m"/>
      <sheetName val="Labour productivity"/>
      <sheetName val="labour coeff"/>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ORDER BOOKING"/>
      <sheetName val="Sheet3 (2)"/>
      <sheetName val="대외공문"/>
      <sheetName val="COST"/>
      <sheetName val="Formulas"/>
      <sheetName val="For Bill-04 PS"/>
      <sheetName val="M B-QtyRecn"/>
      <sheetName val="Quotation"/>
      <sheetName val="Sqn _Main_ Abs"/>
      <sheetName val="Mat.Cost"/>
      <sheetName val="Staff Acco."/>
      <sheetName val="Section Catalogue"/>
      <sheetName val="#REF!"/>
      <sheetName val="lookup"/>
      <sheetName val="Approved MTD Proj #'s"/>
      <sheetName val="Delhi"/>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目录"/>
      <sheetName val="Lowside"/>
      <sheetName val="Measurements"/>
      <sheetName val="Tables"/>
      <sheetName val="Flooring"/>
      <sheetName val="Ceilings"/>
      <sheetName val="ACAD Finishes"/>
      <sheetName val="Site Details"/>
      <sheetName val="Chair"/>
      <sheetName val="Site Area Statement"/>
      <sheetName val="Doors"/>
      <sheetName val="Estimate"/>
      <sheetName val="Material "/>
      <sheetName val="std.wt."/>
      <sheetName val="BOQ-Tower"/>
      <sheetName val="BOQ civil"/>
      <sheetName val="Interior"/>
      <sheetName val="parametry"/>
      <sheetName val="VARIABLE"/>
      <sheetName val="#REF"/>
      <sheetName val="GR.slab-reinft"/>
      <sheetName val="SCHEDULE"/>
      <sheetName val="Aseet1998"/>
      <sheetName val="M-Book for Conc"/>
      <sheetName val="M-Book for FW"/>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Lead statement"/>
      <sheetName val="SOR"/>
      <sheetName val="concrete"/>
      <sheetName val="선수금"/>
      <sheetName val="Code"/>
      <sheetName val="Set"/>
      <sheetName val="Summary_Bank"/>
      <sheetName val="Staircase "/>
      <sheetName val="NLD - Assum"/>
      <sheetName val="Capex-fixed"/>
      <sheetName val="schedule nos"/>
      <sheetName val="CPIPE"/>
      <sheetName val="pvc"/>
      <sheetName val="Labour &amp; Plant"/>
      <sheetName val="Flight-1"/>
      <sheetName val="PRECAST lightconc-II"/>
      <sheetName val="INPUT SHEET"/>
      <sheetName val="BOM"/>
      <sheetName val="Price Schedule"/>
      <sheetName val="Mat_Cost"/>
      <sheetName val="Cost_Any."/>
      <sheetName val="Ratio"/>
      <sheetName val="S &amp; A"/>
      <sheetName val="office"/>
      <sheetName val="Lab"/>
      <sheetName val="Material&amp;equipment"/>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bill 2"/>
      <sheetName val="Cable-data"/>
      <sheetName val="purpose&amp;input"/>
      <sheetName val="train cash"/>
      <sheetName val="accom cash"/>
      <sheetName val="Column Steel-R2"/>
      <sheetName val="beam-reinft-machine rm"/>
      <sheetName val="QS Name"/>
      <sheetName val="CANDY BOQ"/>
      <sheetName val="BOQ_(2)"/>
      <sheetName val="ACAD_Finishes"/>
      <sheetName val="Site_Details"/>
      <sheetName val="Site_Area_Statement"/>
      <sheetName val="ssr-rates"/>
      <sheetName val="leads"/>
      <sheetName val="DATA-2005-06"/>
      <sheetName val="Register"/>
      <sheetName val="Data.F8.BT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Hire"/>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r"/>
      <sheetName val="newsales"/>
      <sheetName val="Meas.-Hotel Part"/>
      <sheetName val="Pay_Sep06"/>
      <sheetName val="협조전"/>
      <sheetName val="AK-Offertstammblatt"/>
      <sheetName val="WORK TABLE"/>
      <sheetName val="220 11  BS "/>
      <sheetName val="Intro."/>
      <sheetName val="B3-B4-B5-B6"/>
      <sheetName val="Detail"/>
      <sheetName val="B1"/>
      <sheetName val="B"/>
      <sheetName val="BOQ Distribution"/>
      <sheetName val="Balustrade"/>
      <sheetName val="CFForecast detail"/>
      <sheetName val="Model (Not Merged)"/>
      <sheetName val="IS"/>
      <sheetName val="SGS ACQ"/>
      <sheetName val="Form 6"/>
      <sheetName val="EDWise"/>
      <sheetName val="01"/>
      <sheetName val="Version"/>
      <sheetName val="환율"/>
      <sheetName val="discounts_XP140"/>
      <sheetName val="Vind - BtB"/>
      <sheetName val="Tender Summary"/>
      <sheetName val="intr stool brkup"/>
      <sheetName val="Cash Flows &amp; IRR"/>
      <sheetName val="MFG"/>
      <sheetName val="QCEQPT-owned"/>
      <sheetName val="Internet"/>
      <sheetName val="Introduction"/>
      <sheetName val="Operating Statistics"/>
      <sheetName val="Financials"/>
      <sheetName val="1"/>
      <sheetName val="PriceSummary"/>
      <sheetName val="A.O.R."/>
      <sheetName val="sheeet7"/>
      <sheetName val="P4-BOQ"/>
      <sheetName val="Material Rate"/>
      <sheetName val="Conc_Analysis"/>
      <sheetName val="upa"/>
      <sheetName val="RAJU ASSO"/>
      <sheetName val="소상 &quot;1&quot;"/>
      <sheetName val="Discount &amp; Margin"/>
      <sheetName val="lead-st"/>
      <sheetName val="Proforma -II "/>
      <sheetName val="DATA_PRG"/>
      <sheetName val="Ellis &amp; WS&amp;S"/>
      <sheetName val="Drip mould &amp; Elevation"/>
      <sheetName val="Trussess"/>
      <sheetName val="MRATES"/>
      <sheetName val="BS"/>
      <sheetName val="Capex"/>
      <sheetName val="CIV INV&amp;EXP"/>
      <sheetName val="not req 3"/>
      <sheetName val="220Kv (2)"/>
      <sheetName val="COMPLEXALL"/>
      <sheetName val="pvc_basic"/>
      <sheetName val="Estimate 10.00 Lakhs "/>
      <sheetName val="mlead"/>
      <sheetName val="abs road"/>
      <sheetName val="coverpage"/>
      <sheetName val="RMR"/>
      <sheetName val="Road data"/>
      <sheetName val="R_Det"/>
      <sheetName val="Detail In Door Stad"/>
      <sheetName val="Pump se_x0000_Ñ"/>
      <sheetName val="Material"/>
      <sheetName val="Lead statement ss5"/>
      <sheetName val="Pump se"/>
      <sheetName val="Works - Quote Sheet"/>
      <sheetName val="DetEst"/>
      <sheetName val="basdat"/>
      <sheetName val="TS-TC"/>
      <sheetName val="대비표"/>
      <sheetName val="except wiring"/>
      <sheetName val="Cs"/>
      <sheetName val="CPIPE 1"/>
      <sheetName val="Retaing wall"/>
      <sheetName val="3. Elemental Summary"/>
      <sheetName val="Assumptions"/>
      <sheetName val="M.S."/>
      <sheetName val="P-Ins &amp; Bonds"/>
      <sheetName val="Transfer"/>
      <sheetName val="4 Annex 1 Basic rate"/>
      <sheetName val="SECPROP"/>
      <sheetName val="CABLENOS."/>
      <sheetName val="C-data"/>
      <sheetName val="Abs_CD_2"/>
      <sheetName val="road est"/>
      <sheetName val="ECV"/>
      <sheetName val="PRELIM5"/>
      <sheetName val="wh_data"/>
      <sheetName val="CPHEEO"/>
      <sheetName val="wh_data_R"/>
      <sheetName val="SSR 2014-15 Rates"/>
      <sheetName val="GROUND FLOOR"/>
      <sheetName val="TOTAL SUMMARY"/>
      <sheetName val="QTY"/>
      <sheetName val="INFRA-CONTRACOR"/>
      <sheetName val="Excavation"/>
      <sheetName val="RCC"/>
      <sheetName val=" Block work"/>
      <sheetName val="Plaster"/>
      <sheetName val="Flooring &amp; Road"/>
      <sheetName val="CHintamani"/>
      <sheetName val="SSF"/>
      <sheetName val="Plumbing"/>
      <sheetName val="Cement"/>
      <sheetName val="BOM "/>
      <sheetName val="SUBMITED bISS"/>
      <sheetName val="Occ, Other Rev, Exp, Dispo"/>
      <sheetName val="MRoad data"/>
      <sheetName val="ABST SANITARY"/>
      <sheetName val="ABST CIVIL"/>
      <sheetName val="P.Well( RCC)"/>
      <sheetName val="Template4444"/>
      <sheetName val="CONNECT"/>
      <sheetName val="Branch Power"/>
      <sheetName val="Distrib"/>
      <sheetName val="Emergency"/>
      <sheetName val="Equipment"/>
      <sheetName val="Lighting"/>
      <sheetName val="2.대외공문"/>
      <sheetName val="PO Summary"/>
      <sheetName val="BOQ Summary"/>
      <sheetName val="Sec 1 Loose Furniture 18% GST"/>
      <sheetName val="Sec 1 Loose Furniture 12% GST"/>
      <sheetName val="Sec 1 Loose Furniture 5% GST"/>
      <sheetName val="Sec 2 Cafeteria Tables"/>
      <sheetName val="Sec 3 Cafeteria Chairs"/>
      <sheetName val="Sec 4 Work Floors - NT "/>
      <sheetName val="Sec 5 LGF Chairs-NT"/>
      <sheetName val="Sec 6 Additional 18% GST "/>
      <sheetName val="Sec 6 Additional 12% GST "/>
      <sheetName val="Sec 11-NT set 3"/>
      <sheetName val="DC Summary"/>
      <sheetName val="M Sheet"/>
      <sheetName val="RA4 Checklist"/>
      <sheetName val="PCC"/>
      <sheetName val="NEW-IDs Fun &amp; Group"/>
      <sheetName val="Values"/>
      <sheetName val="PART-I_(2)6"/>
      <sheetName val="final_abstract6"/>
      <sheetName val="Basement_Budget5"/>
      <sheetName val="Fee_Rate_Summary5"/>
      <sheetName val="Rate_analysis5"/>
      <sheetName val="Materials_Cost5"/>
      <sheetName val="Mater_x0000_fÙ_x0002_G"/>
      <sheetName val=""/>
      <sheetName val="DI"/>
      <sheetName val="Mater"/>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INDIGINEOUS_ITEMS_5"/>
      <sheetName val="INDORAMA_Group_June_025"/>
      <sheetName val="E_&amp;_R5"/>
      <sheetName val="Break_Dw5"/>
      <sheetName val="Load_Details(B1)5"/>
      <sheetName val="SPT_vs_PHI5"/>
      <sheetName val="Civil_Boq5"/>
      <sheetName val="Debits_as_on_12_04_085"/>
      <sheetName val="For_Bill-04_PS"/>
      <sheetName val="RCC,Ret__Wall2"/>
      <sheetName val="RA_4_Challan_Summary_2"/>
      <sheetName val="Labour_productivity2"/>
      <sheetName val="labour_coeff2"/>
      <sheetName val="BOQ_(2)1"/>
      <sheetName val="PA-_Consutant_5"/>
      <sheetName val="Sheet3_(2)"/>
      <sheetName val="ORDER_BOOKING"/>
      <sheetName val="beam-reinft-IIInd_floor"/>
      <sheetName val="Bed_Class5"/>
      <sheetName val="PH_data"/>
      <sheetName val="Details_(3)"/>
      <sheetName val="Desgn(zone_I)5"/>
      <sheetName val="M_B-QtyRecn2"/>
      <sheetName val="Sqn__Main__Abs"/>
      <sheetName val="Staff_Acco_"/>
      <sheetName val="Section_Catalogue"/>
      <sheetName val="Approved_MTD_Proj_#'s"/>
      <sheetName val="ACAD_Finishes1"/>
      <sheetName val="Site_Details1"/>
      <sheetName val="Site_Area_Statement1"/>
      <sheetName val="CABLE_DATA"/>
      <sheetName val="GR_slab-reinft"/>
      <sheetName val="BOQ_civil"/>
      <sheetName val="INPUT_SHEET"/>
      <sheetName val="Rising_Main"/>
      <sheetName val="Estimate_"/>
      <sheetName val="Common_"/>
      <sheetName val="Staircase_"/>
      <sheetName val="Material_"/>
      <sheetName val="PACK_(B)"/>
      <sheetName val="M-Book_for_Conc"/>
      <sheetName val="M-Book_for_FW"/>
      <sheetName val="QS_Name"/>
      <sheetName val="CANDY_BOQ"/>
      <sheetName val="NLD_-_Assum"/>
      <sheetName val="schedule_nos"/>
      <sheetName val="bill_2"/>
      <sheetName val="train_cash"/>
      <sheetName val="accom_cash"/>
      <sheetName val="d-safe_specs"/>
      <sheetName val="d-safe_DELUXE"/>
      <sheetName val="Diawise_steel_abstract"/>
      <sheetName val="Column_Steel-R2"/>
      <sheetName val="std_wt_"/>
      <sheetName val="Meas_-Hotel_Part"/>
      <sheetName val="beam-reinft-machine_rm"/>
      <sheetName val="Vind_-_BtB"/>
      <sheetName val="Tender_Summary"/>
      <sheetName val="WORK_TABLE"/>
      <sheetName val="220_11__BS_"/>
      <sheetName val="Intro_"/>
      <sheetName val="Cash_Flows_&amp;_IRR"/>
      <sheetName val="SGS_ACQ"/>
      <sheetName val="CFForecast_detail"/>
      <sheetName val="Model_(Not_Merged)"/>
      <sheetName val="Form_6"/>
      <sheetName val="Operating_Statistics"/>
      <sheetName val="PC Master List"/>
      <sheetName val="Project Details.."/>
      <sheetName val="TOS-F"/>
      <sheetName val="ANNEXURE-A"/>
      <sheetName val="Qty-UG"/>
      <sheetName val="Labor abs-NMR"/>
      <sheetName val="FINOLEX"/>
      <sheetName val="Japan Reco"/>
      <sheetName val="DOOR-WINDOW SCHEDULE"/>
      <sheetName val="BLOCK WORK-GRD FLR"/>
      <sheetName val="project"/>
      <sheetName val="except_wiring"/>
      <sheetName val="CPIPE_1"/>
      <sheetName val="M_S_"/>
      <sheetName val="PART-I_(2)28"/>
      <sheetName val="final_abstract28"/>
      <sheetName val="Basement_Budget27"/>
      <sheetName val="Rate_analysis27"/>
      <sheetName val="Fee_Rate_Summary27"/>
      <sheetName val="Materials_Cost27"/>
      <sheetName val="10__&amp;_11__Rate_Code_&amp;_BQ27"/>
      <sheetName val="Break_up_Sheet27"/>
      <sheetName val="B_&amp;_C_-_M_-_ccp27"/>
      <sheetName val="RES_STEEL_TO27"/>
      <sheetName val="RMZ_Summary27"/>
      <sheetName val="Materials_27"/>
      <sheetName val="Field_Values27"/>
      <sheetName val="Fin_Sum27"/>
      <sheetName val="Fill_this_out_first___27"/>
      <sheetName val="Site_Dev_BOQ27"/>
      <sheetName val="Staff_Forecast_spread27"/>
      <sheetName val="Structure_Bills_Qty27"/>
      <sheetName val="Builtup_Area27"/>
      <sheetName val="MASTER_RATE_ANALYSIS27"/>
      <sheetName val="Cop_-VGN27"/>
      <sheetName val="Pipe_Supports27"/>
      <sheetName val="MN_T_B_27"/>
      <sheetName val="BOQ_Direct_selling_cost27"/>
      <sheetName val="Stress_Calculation27"/>
      <sheetName val="IO_List27"/>
      <sheetName val="TBAL9697_-group_wise__sdpl27"/>
      <sheetName val="Exp_27"/>
      <sheetName val="INDIGINEOUS_ITEMS_27"/>
      <sheetName val="E_&amp;_R27"/>
      <sheetName val="Load_Details(B1)27"/>
      <sheetName val="Break_Dw27"/>
      <sheetName val="SPT_vs_PHI27"/>
      <sheetName val="Civil_Boq27"/>
      <sheetName val="PA-_Consutant_27"/>
      <sheetName val="Debits_as_on_12_04_0827"/>
      <sheetName val="Sheet3_(2)27"/>
      <sheetName val="INDORAMA_Group_June_0227"/>
      <sheetName val="Sheet3_(2)1"/>
      <sheetName val="Sheet3_(2)2"/>
      <sheetName val="Sheet3_(2)3"/>
      <sheetName val="Sheet3_(2)5"/>
      <sheetName val="Sheet3_(2)4"/>
      <sheetName val="PART-I_(2)7"/>
      <sheetName val="final_abstract7"/>
      <sheetName val="Basement_Budget6"/>
      <sheetName val="Rate_analysis6"/>
      <sheetName val="Fee_Rate_Summary6"/>
      <sheetName val="Materials_Cost6"/>
      <sheetName val="10__&amp;_11__Rate_Code_&amp;_BQ6"/>
      <sheetName val="Break_up_Sheet6"/>
      <sheetName val="B_&amp;_C_-_M_-_ccp6"/>
      <sheetName val="RES_STEEL_TO6"/>
      <sheetName val="RMZ_Summary6"/>
      <sheetName val="Materials_6"/>
      <sheetName val="Field_Values6"/>
      <sheetName val="Fin_Sum6"/>
      <sheetName val="Fill_this_out_first___6"/>
      <sheetName val="Site_Dev_BOQ6"/>
      <sheetName val="Staff_Forecast_spread6"/>
      <sheetName val="Structure_Bills_Qty6"/>
      <sheetName val="Builtup_Area6"/>
      <sheetName val="MASTER_RATE_ANALYSIS6"/>
      <sheetName val="Cop_-VGN6"/>
      <sheetName val="Pipe_Supports6"/>
      <sheetName val="MN_T_B_6"/>
      <sheetName val="BOQ_Direct_selling_cost6"/>
      <sheetName val="Stress_Calculation6"/>
      <sheetName val="IO_List6"/>
      <sheetName val="TBAL9697_-group_wise__sdpl6"/>
      <sheetName val="Exp_6"/>
      <sheetName val="INDIGINEOUS_ITEMS_6"/>
      <sheetName val="E_&amp;_R6"/>
      <sheetName val="Load_Details(B1)6"/>
      <sheetName val="Break_Dw6"/>
      <sheetName val="SPT_vs_PHI6"/>
      <sheetName val="Civil_Boq6"/>
      <sheetName val="PA-_Consutant_6"/>
      <sheetName val="Debits_as_on_12_04_086"/>
      <sheetName val="Sheet3_(2)6"/>
      <sheetName val="INDORAMA_Group_June_026"/>
      <sheetName val="PART-I_(2)8"/>
      <sheetName val="final_abstract8"/>
      <sheetName val="Basement_Budget7"/>
      <sheetName val="Rate_analysis7"/>
      <sheetName val="Fee_Rate_Summary7"/>
      <sheetName val="Materials_Cost7"/>
      <sheetName val="10__&amp;_11__Rate_Code_&amp;_BQ7"/>
      <sheetName val="Break_up_Sheet7"/>
      <sheetName val="B_&amp;_C_-_M_-_ccp7"/>
      <sheetName val="RES_STEEL_TO7"/>
      <sheetName val="RMZ_Summary7"/>
      <sheetName val="Materials_7"/>
      <sheetName val="Field_Values7"/>
      <sheetName val="Fin_Sum7"/>
      <sheetName val="Fill_this_out_first___7"/>
      <sheetName val="Site_Dev_BOQ7"/>
      <sheetName val="Staff_Forecast_spread7"/>
      <sheetName val="Structure_Bills_Qty7"/>
      <sheetName val="Builtup_Area7"/>
      <sheetName val="MASTER_RATE_ANALYSIS7"/>
      <sheetName val="Cop_-VGN7"/>
      <sheetName val="Pipe_Supports7"/>
      <sheetName val="MN_T_B_7"/>
      <sheetName val="BOQ_Direct_selling_cost7"/>
      <sheetName val="Stress_Calculation7"/>
      <sheetName val="IO_List7"/>
      <sheetName val="TBAL9697_-group_wise__sdpl7"/>
      <sheetName val="Exp_7"/>
      <sheetName val="INDIGINEOUS_ITEMS_7"/>
      <sheetName val="E_&amp;_R7"/>
      <sheetName val="Load_Details(B1)7"/>
      <sheetName val="Break_Dw7"/>
      <sheetName val="SPT_vs_PHI7"/>
      <sheetName val="Civil_Boq7"/>
      <sheetName val="PA-_Consutant_7"/>
      <sheetName val="Debits_as_on_12_04_087"/>
      <sheetName val="Sheet3_(2)7"/>
      <sheetName val="INDORAMA_Group_June_027"/>
      <sheetName val="PART-I_(2)12"/>
      <sheetName val="final_abstract12"/>
      <sheetName val="Basement_Budget11"/>
      <sheetName val="Rate_analysis11"/>
      <sheetName val="Fee_Rate_Summary11"/>
      <sheetName val="Materials_Cost11"/>
      <sheetName val="10__&amp;_11__Rate_Code_&amp;_BQ11"/>
      <sheetName val="Break_up_Sheet11"/>
      <sheetName val="B_&amp;_C_-_M_-_ccp11"/>
      <sheetName val="RES_STEEL_TO11"/>
      <sheetName val="RMZ_Summary11"/>
      <sheetName val="Materials_11"/>
      <sheetName val="Field_Values11"/>
      <sheetName val="Fin_Sum11"/>
      <sheetName val="Fill_this_out_first___11"/>
      <sheetName val="Site_Dev_BOQ11"/>
      <sheetName val="Staff_Forecast_spread11"/>
      <sheetName val="Structure_Bills_Qty11"/>
      <sheetName val="Builtup_Area11"/>
      <sheetName val="MASTER_RATE_ANALYSIS11"/>
      <sheetName val="Cop_-VGN11"/>
      <sheetName val="Pipe_Supports11"/>
      <sheetName val="MN_T_B_11"/>
      <sheetName val="BOQ_Direct_selling_cost11"/>
      <sheetName val="Stress_Calculation11"/>
      <sheetName val="IO_List11"/>
      <sheetName val="TBAL9697_-group_wise__sdpl11"/>
      <sheetName val="Exp_11"/>
      <sheetName val="INDIGINEOUS_ITEMS_11"/>
      <sheetName val="E_&amp;_R11"/>
      <sheetName val="Load_Details(B1)11"/>
      <sheetName val="Break_Dw11"/>
      <sheetName val="SPT_vs_PHI11"/>
      <sheetName val="Civil_Boq11"/>
      <sheetName val="PA-_Consutant_11"/>
      <sheetName val="Debits_as_on_12_04_0811"/>
      <sheetName val="Sheet3_(2)11"/>
      <sheetName val="INDORAMA_Group_June_0211"/>
      <sheetName val="PART-I_(2)9"/>
      <sheetName val="final_abstract9"/>
      <sheetName val="Basement_Budget8"/>
      <sheetName val="Rate_analysis8"/>
      <sheetName val="Fee_Rate_Summary8"/>
      <sheetName val="Materials_Cost8"/>
      <sheetName val="10__&amp;_11__Rate_Code_&amp;_BQ8"/>
      <sheetName val="Break_up_Sheet8"/>
      <sheetName val="B_&amp;_C_-_M_-_ccp8"/>
      <sheetName val="RES_STEEL_TO8"/>
      <sheetName val="RMZ_Summary8"/>
      <sheetName val="Materials_8"/>
      <sheetName val="Field_Values8"/>
      <sheetName val="Fin_Sum8"/>
      <sheetName val="Fill_this_out_first___8"/>
      <sheetName val="Site_Dev_BOQ8"/>
      <sheetName val="Staff_Forecast_spread8"/>
      <sheetName val="Structure_Bills_Qty8"/>
      <sheetName val="Builtup_Area8"/>
      <sheetName val="MASTER_RATE_ANALYSIS8"/>
      <sheetName val="Cop_-VGN8"/>
      <sheetName val="Pipe_Supports8"/>
      <sheetName val="MN_T_B_8"/>
      <sheetName val="BOQ_Direct_selling_cost8"/>
      <sheetName val="Stress_Calculation8"/>
      <sheetName val="IO_List8"/>
      <sheetName val="TBAL9697_-group_wise__sdpl8"/>
      <sheetName val="Exp_8"/>
      <sheetName val="INDIGINEOUS_ITEMS_8"/>
      <sheetName val="E_&amp;_R8"/>
      <sheetName val="Load_Details(B1)8"/>
      <sheetName val="Break_Dw8"/>
      <sheetName val="SPT_vs_PHI8"/>
      <sheetName val="Civil_Boq8"/>
      <sheetName val="PA-_Consutant_8"/>
      <sheetName val="Debits_as_on_12_04_088"/>
      <sheetName val="Sheet3_(2)8"/>
      <sheetName val="INDORAMA_Group_June_028"/>
      <sheetName val="PART-I_(2)10"/>
      <sheetName val="final_abstract10"/>
      <sheetName val="Basement_Budget9"/>
      <sheetName val="Rate_analysis9"/>
      <sheetName val="Fee_Rate_Summary9"/>
      <sheetName val="Materials_Cost9"/>
      <sheetName val="10__&amp;_11__Rate_Code_&amp;_BQ9"/>
      <sheetName val="Break_up_Sheet9"/>
      <sheetName val="B_&amp;_C_-_M_-_ccp9"/>
      <sheetName val="RES_STEEL_TO9"/>
      <sheetName val="RMZ_Summary9"/>
      <sheetName val="Materials_9"/>
      <sheetName val="Field_Values9"/>
      <sheetName val="Fin_Sum9"/>
      <sheetName val="Fill_this_out_first___9"/>
      <sheetName val="Site_Dev_BOQ9"/>
      <sheetName val="Staff_Forecast_spread9"/>
      <sheetName val="Structure_Bills_Qty9"/>
      <sheetName val="Builtup_Area9"/>
      <sheetName val="MASTER_RATE_ANALYSIS9"/>
      <sheetName val="Cop_-VGN9"/>
      <sheetName val="Pipe_Supports9"/>
      <sheetName val="MN_T_B_9"/>
      <sheetName val="BOQ_Direct_selling_cost9"/>
      <sheetName val="Stress_Calculation9"/>
      <sheetName val="IO_List9"/>
      <sheetName val="TBAL9697_-group_wise__sdpl9"/>
      <sheetName val="Exp_9"/>
      <sheetName val="INDIGINEOUS_ITEMS_9"/>
      <sheetName val="E_&amp;_R9"/>
      <sheetName val="Load_Details(B1)9"/>
      <sheetName val="Break_Dw9"/>
      <sheetName val="SPT_vs_PHI9"/>
      <sheetName val="Civil_Boq9"/>
      <sheetName val="PA-_Consutant_9"/>
      <sheetName val="Debits_as_on_12_04_089"/>
      <sheetName val="Sheet3_(2)9"/>
      <sheetName val="INDORAMA_Group_June_029"/>
      <sheetName val="PART-I_(2)11"/>
      <sheetName val="final_abstract11"/>
      <sheetName val="Basement_Budget10"/>
      <sheetName val="Rate_analysis10"/>
      <sheetName val="Fee_Rate_Summary10"/>
      <sheetName val="Materials_Cost10"/>
      <sheetName val="10__&amp;_11__Rate_Code_&amp;_BQ10"/>
      <sheetName val="Break_up_Sheet10"/>
      <sheetName val="B_&amp;_C_-_M_-_ccp10"/>
      <sheetName val="RES_STEEL_TO10"/>
      <sheetName val="RMZ_Summary10"/>
      <sheetName val="Materials_10"/>
      <sheetName val="Field_Values10"/>
      <sheetName val="Fin_Sum10"/>
      <sheetName val="Fill_this_out_first___10"/>
      <sheetName val="Site_Dev_BOQ10"/>
      <sheetName val="Staff_Forecast_spread10"/>
      <sheetName val="Structure_Bills_Qty10"/>
      <sheetName val="Builtup_Area10"/>
      <sheetName val="MASTER_RATE_ANALYSIS10"/>
      <sheetName val="Cop_-VGN10"/>
      <sheetName val="Pipe_Supports10"/>
      <sheetName val="MN_T_B_10"/>
      <sheetName val="BOQ_Direct_selling_cost10"/>
      <sheetName val="Stress_Calculation10"/>
      <sheetName val="IO_List10"/>
      <sheetName val="TBAL9697_-group_wise__sdpl10"/>
      <sheetName val="Exp_10"/>
      <sheetName val="INDIGINEOUS_ITEMS_10"/>
      <sheetName val="E_&amp;_R10"/>
      <sheetName val="Load_Details(B1)10"/>
      <sheetName val="Break_Dw10"/>
      <sheetName val="SPT_vs_PHI10"/>
      <sheetName val="Civil_Boq10"/>
      <sheetName val="PA-_Consutant_10"/>
      <sheetName val="Debits_as_on_12_04_0810"/>
      <sheetName val="Sheet3_(2)10"/>
      <sheetName val="INDORAMA_Group_June_0210"/>
      <sheetName val="PART-I_(2)13"/>
      <sheetName val="final_abstract13"/>
      <sheetName val="Basement_Budget12"/>
      <sheetName val="Rate_analysis12"/>
      <sheetName val="Fee_Rate_Summary12"/>
      <sheetName val="Materials_Cost12"/>
      <sheetName val="10__&amp;_11__Rate_Code_&amp;_BQ12"/>
      <sheetName val="Break_up_Sheet12"/>
      <sheetName val="B_&amp;_C_-_M_-_ccp12"/>
      <sheetName val="RES_STEEL_TO12"/>
      <sheetName val="RMZ_Summary12"/>
      <sheetName val="Materials_12"/>
      <sheetName val="Fill_this_out_first___12"/>
      <sheetName val="Cop_-VGN12"/>
      <sheetName val="Field_Values12"/>
      <sheetName val="Fin_Sum12"/>
      <sheetName val="Site_Dev_BOQ12"/>
      <sheetName val="Staff_Forecast_spread12"/>
      <sheetName val="Structure_Bills_Qty12"/>
      <sheetName val="Builtup_Area12"/>
      <sheetName val="MASTER_RATE_ANALYSIS12"/>
      <sheetName val="Pipe_Supports12"/>
      <sheetName val="MN_T_B_12"/>
      <sheetName val="BOQ_Direct_selling_cost12"/>
      <sheetName val="Stress_Calculation12"/>
      <sheetName val="IO_List12"/>
      <sheetName val="TBAL9697_-group_wise__sdpl12"/>
      <sheetName val="Exp_12"/>
      <sheetName val="INDIGINEOUS_ITEMS_12"/>
      <sheetName val="E_&amp;_R12"/>
      <sheetName val="Load_Details(B1)12"/>
      <sheetName val="Break_Dw12"/>
      <sheetName val="SPT_vs_PHI12"/>
      <sheetName val="Civil_Boq12"/>
      <sheetName val="PA-_Consutant_12"/>
      <sheetName val="Debits_as_on_12_04_0812"/>
      <sheetName val="Sheet3_(2)12"/>
      <sheetName val="INDORAMA_Group_June_0212"/>
      <sheetName val="PART-I_(2)16"/>
      <sheetName val="final_abstract16"/>
      <sheetName val="Basement_Budget15"/>
      <sheetName val="Rate_analysis15"/>
      <sheetName val="Fee_Rate_Summary15"/>
      <sheetName val="Materials_Cost15"/>
      <sheetName val="10__&amp;_11__Rate_Code_&amp;_BQ15"/>
      <sheetName val="Break_up_Sheet15"/>
      <sheetName val="B_&amp;_C_-_M_-_ccp15"/>
      <sheetName val="RES_STEEL_TO15"/>
      <sheetName val="RMZ_Summary15"/>
      <sheetName val="Materials_15"/>
      <sheetName val="Field_Values15"/>
      <sheetName val="Fin_Sum15"/>
      <sheetName val="Fill_this_out_first___15"/>
      <sheetName val="Site_Dev_BOQ15"/>
      <sheetName val="Staff_Forecast_spread15"/>
      <sheetName val="Structure_Bills_Qty15"/>
      <sheetName val="Builtup_Area15"/>
      <sheetName val="MASTER_RATE_ANALYSIS15"/>
      <sheetName val="Cop_-VGN15"/>
      <sheetName val="Pipe_Supports15"/>
      <sheetName val="MN_T_B_15"/>
      <sheetName val="BOQ_Direct_selling_cost15"/>
      <sheetName val="Stress_Calculation15"/>
      <sheetName val="IO_List15"/>
      <sheetName val="TBAL9697_-group_wise__sdpl15"/>
      <sheetName val="Exp_15"/>
      <sheetName val="INDIGINEOUS_ITEMS_15"/>
      <sheetName val="E_&amp;_R15"/>
      <sheetName val="Load_Details(B1)15"/>
      <sheetName val="Break_Dw15"/>
      <sheetName val="SPT_vs_PHI15"/>
      <sheetName val="Civil_Boq15"/>
      <sheetName val="PA-_Consutant_15"/>
      <sheetName val="Debits_as_on_12_04_0815"/>
      <sheetName val="Sheet3_(2)15"/>
      <sheetName val="INDORAMA_Group_June_0215"/>
      <sheetName val="PART-I_(2)14"/>
      <sheetName val="final_abstract14"/>
      <sheetName val="Basement_Budget13"/>
      <sheetName val="Rate_analysis13"/>
      <sheetName val="Fee_Rate_Summary13"/>
      <sheetName val="Materials_Cost13"/>
      <sheetName val="10__&amp;_11__Rate_Code_&amp;_BQ13"/>
      <sheetName val="Break_up_Sheet13"/>
      <sheetName val="B_&amp;_C_-_M_-_ccp13"/>
      <sheetName val="RES_STEEL_TO13"/>
      <sheetName val="RMZ_Summary13"/>
      <sheetName val="Materials_13"/>
      <sheetName val="Field_Values13"/>
      <sheetName val="Fin_Sum13"/>
      <sheetName val="Fill_this_out_first___13"/>
      <sheetName val="Site_Dev_BOQ13"/>
      <sheetName val="Staff_Forecast_spread13"/>
      <sheetName val="Structure_Bills_Qty13"/>
      <sheetName val="Builtup_Area13"/>
      <sheetName val="MASTER_RATE_ANALYSIS13"/>
      <sheetName val="Cop_-VGN13"/>
      <sheetName val="Pipe_Supports13"/>
      <sheetName val="MN_T_B_13"/>
      <sheetName val="BOQ_Direct_selling_cost13"/>
      <sheetName val="Stress_Calculation13"/>
      <sheetName val="IO_List13"/>
      <sheetName val="TBAL9697_-group_wise__sdpl13"/>
      <sheetName val="Exp_13"/>
      <sheetName val="INDIGINEOUS_ITEMS_13"/>
      <sheetName val="E_&amp;_R13"/>
      <sheetName val="Load_Details(B1)13"/>
      <sheetName val="Break_Dw13"/>
      <sheetName val="SPT_vs_PHI13"/>
      <sheetName val="Civil_Boq13"/>
      <sheetName val="PA-_Consutant_13"/>
      <sheetName val="Debits_as_on_12_04_0813"/>
      <sheetName val="Sheet3_(2)13"/>
      <sheetName val="INDORAMA_Group_June_0213"/>
      <sheetName val="PART-I_(2)15"/>
      <sheetName val="final_abstract15"/>
      <sheetName val="Basement_Budget14"/>
      <sheetName val="Rate_analysis14"/>
      <sheetName val="Fee_Rate_Summary14"/>
      <sheetName val="Materials_Cost14"/>
      <sheetName val="10__&amp;_11__Rate_Code_&amp;_BQ14"/>
      <sheetName val="Break_up_Sheet14"/>
      <sheetName val="B_&amp;_C_-_M_-_ccp14"/>
      <sheetName val="RES_STEEL_TO14"/>
      <sheetName val="RMZ_Summary14"/>
      <sheetName val="Materials_14"/>
      <sheetName val="Field_Values14"/>
      <sheetName val="Fin_Sum14"/>
      <sheetName val="Fill_this_out_first___14"/>
      <sheetName val="Site_Dev_BOQ14"/>
      <sheetName val="Staff_Forecast_spread14"/>
      <sheetName val="Structure_Bills_Qty14"/>
      <sheetName val="Builtup_Area14"/>
      <sheetName val="MASTER_RATE_ANALYSIS14"/>
      <sheetName val="Cop_-VGN14"/>
      <sheetName val="Pipe_Supports14"/>
      <sheetName val="MN_T_B_14"/>
      <sheetName val="BOQ_Direct_selling_cost14"/>
      <sheetName val="Stress_Calculation14"/>
      <sheetName val="IO_List14"/>
      <sheetName val="TBAL9697_-group_wise__sdpl14"/>
      <sheetName val="Exp_14"/>
      <sheetName val="INDIGINEOUS_ITEMS_14"/>
      <sheetName val="E_&amp;_R14"/>
      <sheetName val="Load_Details(B1)14"/>
      <sheetName val="Break_Dw14"/>
      <sheetName val="SPT_vs_PHI14"/>
      <sheetName val="Civil_Boq14"/>
      <sheetName val="PA-_Consutant_14"/>
      <sheetName val="Debits_as_on_12_04_0814"/>
      <sheetName val="Sheet3_(2)14"/>
      <sheetName val="INDORAMA_Group_June_0214"/>
      <sheetName val="PART-I_(2)17"/>
      <sheetName val="final_abstract17"/>
      <sheetName val="Rate_analysis16"/>
      <sheetName val="Fee_Rate_Summary16"/>
      <sheetName val="Basement_Budget16"/>
      <sheetName val="Materials_Cost16"/>
      <sheetName val="10__&amp;_11__Rate_Code_&amp;_BQ16"/>
      <sheetName val="Break_up_Sheet16"/>
      <sheetName val="B_&amp;_C_-_M_-_ccp16"/>
      <sheetName val="RES_STEEL_TO16"/>
      <sheetName val="RMZ_Summary16"/>
      <sheetName val="Field_Values16"/>
      <sheetName val="Fin_Sum16"/>
      <sheetName val="Fill_this_out_first___16"/>
      <sheetName val="Site_Dev_BOQ16"/>
      <sheetName val="Staff_Forecast_spread16"/>
      <sheetName val="Structure_Bills_Qty16"/>
      <sheetName val="Builtup_Area16"/>
      <sheetName val="MASTER_RATE_ANALYSIS16"/>
      <sheetName val="Cop_-VGN16"/>
      <sheetName val="Pipe_Supports16"/>
      <sheetName val="Materials_16"/>
      <sheetName val="MN_T_B_16"/>
      <sheetName val="BOQ_Direct_selling_cost16"/>
      <sheetName val="Stress_Calculation16"/>
      <sheetName val="IO_List16"/>
      <sheetName val="TBAL9697_-group_wise__sdpl16"/>
      <sheetName val="Exp_16"/>
      <sheetName val="INDIGINEOUS_ITEMS_16"/>
      <sheetName val="E_&amp;_R16"/>
      <sheetName val="Load_Details(B1)16"/>
      <sheetName val="Break_Dw16"/>
      <sheetName val="SPT_vs_PHI16"/>
      <sheetName val="Civil_Boq16"/>
      <sheetName val="PA-_Consutant_16"/>
      <sheetName val="Debits_as_on_12_04_0816"/>
      <sheetName val="Sheet3_(2)16"/>
      <sheetName val="INDORAMA_Group_June_0216"/>
      <sheetName val="PART-I_(2)22"/>
      <sheetName val="final_abstract22"/>
      <sheetName val="Basement_Budget21"/>
      <sheetName val="Rate_analysis21"/>
      <sheetName val="Fee_Rate_Summary21"/>
      <sheetName val="Materials_Cost21"/>
      <sheetName val="10__&amp;_11__Rate_Code_&amp;_BQ21"/>
      <sheetName val="Break_up_Sheet21"/>
      <sheetName val="B_&amp;_C_-_M_-_ccp21"/>
      <sheetName val="RES_STEEL_TO21"/>
      <sheetName val="RMZ_Summary21"/>
      <sheetName val="Materials_21"/>
      <sheetName val="Field_Values21"/>
      <sheetName val="Fin_Sum21"/>
      <sheetName val="Fill_this_out_first___21"/>
      <sheetName val="Site_Dev_BOQ21"/>
      <sheetName val="Staff_Forecast_spread21"/>
      <sheetName val="Structure_Bills_Qty21"/>
      <sheetName val="Builtup_Area21"/>
      <sheetName val="MASTER_RATE_ANALYSIS21"/>
      <sheetName val="Cop_-VGN21"/>
      <sheetName val="Pipe_Supports21"/>
      <sheetName val="MN_T_B_21"/>
      <sheetName val="BOQ_Direct_selling_cost21"/>
      <sheetName val="Stress_Calculation21"/>
      <sheetName val="IO_List21"/>
      <sheetName val="TBAL9697_-group_wise__sdpl21"/>
      <sheetName val="Exp_21"/>
      <sheetName val="INDIGINEOUS_ITEMS_21"/>
      <sheetName val="E_&amp;_R21"/>
      <sheetName val="Load_Details(B1)21"/>
      <sheetName val="Break_Dw21"/>
      <sheetName val="SPT_vs_PHI21"/>
      <sheetName val="Civil_Boq21"/>
      <sheetName val="PA-_Consutant_21"/>
      <sheetName val="Debits_as_on_12_04_0821"/>
      <sheetName val="Sheet3_(2)21"/>
      <sheetName val="INDORAMA_Group_June_0221"/>
      <sheetName val="PART-I_(2)19"/>
      <sheetName val="final_abstract19"/>
      <sheetName val="Rate_analysis18"/>
      <sheetName val="Fee_Rate_Summary18"/>
      <sheetName val="Basement_Budget18"/>
      <sheetName val="Materials_Cost18"/>
      <sheetName val="10__&amp;_11__Rate_Code_&amp;_BQ18"/>
      <sheetName val="Break_up_Sheet18"/>
      <sheetName val="B_&amp;_C_-_M_-_ccp18"/>
      <sheetName val="RES_STEEL_TO18"/>
      <sheetName val="RMZ_Summary18"/>
      <sheetName val="Field_Values18"/>
      <sheetName val="Fin_Sum18"/>
      <sheetName val="Fill_this_out_first___18"/>
      <sheetName val="Site_Dev_BOQ18"/>
      <sheetName val="Staff_Forecast_spread18"/>
      <sheetName val="Structure_Bills_Qty18"/>
      <sheetName val="Builtup_Area18"/>
      <sheetName val="MASTER_RATE_ANALYSIS18"/>
      <sheetName val="Cop_-VGN18"/>
      <sheetName val="Pipe_Supports18"/>
      <sheetName val="Materials_18"/>
      <sheetName val="MN_T_B_18"/>
      <sheetName val="BOQ_Direct_selling_cost18"/>
      <sheetName val="Stress_Calculation18"/>
      <sheetName val="IO_List18"/>
      <sheetName val="TBAL9697_-group_wise__sdpl18"/>
      <sheetName val="Exp_18"/>
      <sheetName val="INDIGINEOUS_ITEMS_18"/>
      <sheetName val="E_&amp;_R18"/>
      <sheetName val="Load_Details(B1)18"/>
      <sheetName val="Break_Dw18"/>
      <sheetName val="SPT_vs_PHI18"/>
      <sheetName val="Civil_Boq18"/>
      <sheetName val="PA-_Consutant_18"/>
      <sheetName val="Debits_as_on_12_04_0818"/>
      <sheetName val="Sheet3_(2)18"/>
      <sheetName val="INDORAMA_Group_June_0218"/>
      <sheetName val="PART-I_(2)18"/>
      <sheetName val="final_abstract18"/>
      <sheetName val="Rate_analysis17"/>
      <sheetName val="Fee_Rate_Summary17"/>
      <sheetName val="Basement_Budget17"/>
      <sheetName val="Materials_Cost17"/>
      <sheetName val="10__&amp;_11__Rate_Code_&amp;_BQ17"/>
      <sheetName val="Break_up_Sheet17"/>
      <sheetName val="B_&amp;_C_-_M_-_ccp17"/>
      <sheetName val="RES_STEEL_TO17"/>
      <sheetName val="RMZ_Summary17"/>
      <sheetName val="Field_Values17"/>
      <sheetName val="Fin_Sum17"/>
      <sheetName val="Fill_this_out_first___17"/>
      <sheetName val="Site_Dev_BOQ17"/>
      <sheetName val="Staff_Forecast_spread17"/>
      <sheetName val="Structure_Bills_Qty17"/>
      <sheetName val="Builtup_Area17"/>
      <sheetName val="MASTER_RATE_ANALYSIS17"/>
      <sheetName val="Cop_-VGN17"/>
      <sheetName val="Pipe_Supports17"/>
      <sheetName val="Materials_17"/>
      <sheetName val="MN_T_B_17"/>
      <sheetName val="BOQ_Direct_selling_cost17"/>
      <sheetName val="Stress_Calculation17"/>
      <sheetName val="IO_List17"/>
      <sheetName val="TBAL9697_-group_wise__sdpl17"/>
      <sheetName val="Exp_17"/>
      <sheetName val="INDIGINEOUS_ITEMS_17"/>
      <sheetName val="E_&amp;_R17"/>
      <sheetName val="Load_Details(B1)17"/>
      <sheetName val="Break_Dw17"/>
      <sheetName val="SPT_vs_PHI17"/>
      <sheetName val="Civil_Boq17"/>
      <sheetName val="PA-_Consutant_17"/>
      <sheetName val="Debits_as_on_12_04_0817"/>
      <sheetName val="Sheet3_(2)17"/>
      <sheetName val="INDORAMA_Group_June_0217"/>
      <sheetName val="PART-I_(2)20"/>
      <sheetName val="final_abstract20"/>
      <sheetName val="Rate_analysis19"/>
      <sheetName val="Fee_Rate_Summary19"/>
      <sheetName val="Basement_Budget19"/>
      <sheetName val="Materials_Cost19"/>
      <sheetName val="10__&amp;_11__Rate_Code_&amp;_BQ19"/>
      <sheetName val="Break_up_Sheet19"/>
      <sheetName val="B_&amp;_C_-_M_-_ccp19"/>
      <sheetName val="RES_STEEL_TO19"/>
      <sheetName val="RMZ_Summary19"/>
      <sheetName val="Field_Values19"/>
      <sheetName val="Fin_Sum19"/>
      <sheetName val="Fill_this_out_first___19"/>
      <sheetName val="Site_Dev_BOQ19"/>
      <sheetName val="Staff_Forecast_spread19"/>
      <sheetName val="Structure_Bills_Qty19"/>
      <sheetName val="Builtup_Area19"/>
      <sheetName val="MASTER_RATE_ANALYSIS19"/>
      <sheetName val="Cop_-VGN19"/>
      <sheetName val="Pipe_Supports19"/>
      <sheetName val="Materials_19"/>
      <sheetName val="MN_T_B_19"/>
      <sheetName val="BOQ_Direct_selling_cost19"/>
      <sheetName val="Stress_Calculation19"/>
      <sheetName val="IO_List19"/>
      <sheetName val="TBAL9697_-group_wise__sdpl19"/>
      <sheetName val="Exp_19"/>
      <sheetName val="INDIGINEOUS_ITEMS_19"/>
      <sheetName val="E_&amp;_R19"/>
      <sheetName val="Load_Details(B1)19"/>
      <sheetName val="Break_Dw19"/>
      <sheetName val="SPT_vs_PHI19"/>
      <sheetName val="Civil_Boq19"/>
      <sheetName val="PA-_Consutant_19"/>
      <sheetName val="Debits_as_on_12_04_0819"/>
      <sheetName val="Sheet3_(2)19"/>
      <sheetName val="INDORAMA_Group_June_0219"/>
      <sheetName val="PART-I_(2)21"/>
      <sheetName val="final_abstract21"/>
      <sheetName val="Basement_Budget20"/>
      <sheetName val="Rate_analysis20"/>
      <sheetName val="Fee_Rate_Summary20"/>
      <sheetName val="Materials_Cost20"/>
      <sheetName val="10__&amp;_11__Rate_Code_&amp;_BQ20"/>
      <sheetName val="Break_up_Sheet20"/>
      <sheetName val="B_&amp;_C_-_M_-_ccp20"/>
      <sheetName val="RES_STEEL_TO20"/>
      <sheetName val="RMZ_Summary20"/>
      <sheetName val="Materials_20"/>
      <sheetName val="Field_Values20"/>
      <sheetName val="Fin_Sum20"/>
      <sheetName val="Fill_this_out_first___20"/>
      <sheetName val="Site_Dev_BOQ20"/>
      <sheetName val="Staff_Forecast_spread20"/>
      <sheetName val="Structure_Bills_Qty20"/>
      <sheetName val="Builtup_Area20"/>
      <sheetName val="MASTER_RATE_ANALYSIS20"/>
      <sheetName val="Cop_-VGN20"/>
      <sheetName val="Pipe_Supports20"/>
      <sheetName val="MN_T_B_20"/>
      <sheetName val="BOQ_Direct_selling_cost20"/>
      <sheetName val="Stress_Calculation20"/>
      <sheetName val="IO_List20"/>
      <sheetName val="TBAL9697_-group_wise__sdpl20"/>
      <sheetName val="Exp_20"/>
      <sheetName val="INDIGINEOUS_ITEMS_20"/>
      <sheetName val="E_&amp;_R20"/>
      <sheetName val="Load_Details(B1)20"/>
      <sheetName val="Break_Dw20"/>
      <sheetName val="SPT_vs_PHI20"/>
      <sheetName val="Civil_Boq20"/>
      <sheetName val="PA-_Consutant_20"/>
      <sheetName val="Debits_as_on_12_04_0820"/>
      <sheetName val="Sheet3_(2)20"/>
      <sheetName val="INDORAMA_Group_June_0220"/>
      <sheetName val="PART-I_(2)23"/>
      <sheetName val="final_abstract23"/>
      <sheetName val="Basement_Budget22"/>
      <sheetName val="Rate_analysis22"/>
      <sheetName val="Fee_Rate_Summary22"/>
      <sheetName val="Materials_Cost22"/>
      <sheetName val="10__&amp;_11__Rate_Code_&amp;_BQ22"/>
      <sheetName val="Break_up_Sheet22"/>
      <sheetName val="B_&amp;_C_-_M_-_ccp22"/>
      <sheetName val="RES_STEEL_TO22"/>
      <sheetName val="RMZ_Summary22"/>
      <sheetName val="Materials_22"/>
      <sheetName val="Field_Values22"/>
      <sheetName val="Fin_Sum22"/>
      <sheetName val="Fill_this_out_first___22"/>
      <sheetName val="Site_Dev_BOQ22"/>
      <sheetName val="Staff_Forecast_spread22"/>
      <sheetName val="Structure_Bills_Qty22"/>
      <sheetName val="Builtup_Area22"/>
      <sheetName val="MASTER_RATE_ANALYSIS22"/>
      <sheetName val="Cop_-VGN22"/>
      <sheetName val="Pipe_Supports22"/>
      <sheetName val="MN_T_B_22"/>
      <sheetName val="BOQ_Direct_selling_cost22"/>
      <sheetName val="Stress_Calculation22"/>
      <sheetName val="IO_List22"/>
      <sheetName val="TBAL9697_-group_wise__sdpl22"/>
      <sheetName val="Exp_22"/>
      <sheetName val="INDIGINEOUS_ITEMS_22"/>
      <sheetName val="E_&amp;_R22"/>
      <sheetName val="Load_Details(B1)22"/>
      <sheetName val="Break_Dw22"/>
      <sheetName val="SPT_vs_PHI22"/>
      <sheetName val="Civil_Boq22"/>
      <sheetName val="PA-_Consutant_22"/>
      <sheetName val="Debits_as_on_12_04_0822"/>
      <sheetName val="Sheet3_(2)22"/>
      <sheetName val="INDORAMA_Group_June_0222"/>
      <sheetName val="PART-I_(2)24"/>
      <sheetName val="final_abstract24"/>
      <sheetName val="Basement_Budget23"/>
      <sheetName val="Rate_analysis23"/>
      <sheetName val="Fee_Rate_Summary23"/>
      <sheetName val="Materials_Cost23"/>
      <sheetName val="10__&amp;_11__Rate_Code_&amp;_BQ23"/>
      <sheetName val="Break_up_Sheet23"/>
      <sheetName val="B_&amp;_C_-_M_-_ccp23"/>
      <sheetName val="RES_STEEL_TO23"/>
      <sheetName val="RMZ_Summary23"/>
      <sheetName val="Materials_23"/>
      <sheetName val="Field_Values23"/>
      <sheetName val="Fin_Sum23"/>
      <sheetName val="Fill_this_out_first___23"/>
      <sheetName val="Site_Dev_BOQ23"/>
      <sheetName val="Staff_Forecast_spread23"/>
      <sheetName val="Structure_Bills_Qty23"/>
      <sheetName val="Builtup_Area23"/>
      <sheetName val="MASTER_RATE_ANALYSIS23"/>
      <sheetName val="Cop_-VGN23"/>
      <sheetName val="Pipe_Supports23"/>
      <sheetName val="MN_T_B_23"/>
      <sheetName val="BOQ_Direct_selling_cost23"/>
      <sheetName val="Stress_Calculation23"/>
      <sheetName val="IO_List23"/>
      <sheetName val="TBAL9697_-group_wise__sdpl23"/>
      <sheetName val="Exp_23"/>
      <sheetName val="INDIGINEOUS_ITEMS_23"/>
      <sheetName val="E_&amp;_R23"/>
      <sheetName val="Load_Details(B1)23"/>
      <sheetName val="Break_Dw23"/>
      <sheetName val="SPT_vs_PHI23"/>
      <sheetName val="Civil_Boq23"/>
      <sheetName val="PA-_Consutant_23"/>
      <sheetName val="Debits_as_on_12_04_0823"/>
      <sheetName val="Sheet3_(2)23"/>
      <sheetName val="INDORAMA_Group_June_0223"/>
      <sheetName val="PART-I_(2)25"/>
      <sheetName val="final_abstract25"/>
      <sheetName val="Basement_Budget24"/>
      <sheetName val="Rate_analysis24"/>
      <sheetName val="Fee_Rate_Summary24"/>
      <sheetName val="Materials_Cost24"/>
      <sheetName val="10__&amp;_11__Rate_Code_&amp;_BQ24"/>
      <sheetName val="Break_up_Sheet24"/>
      <sheetName val="B_&amp;_C_-_M_-_ccp24"/>
      <sheetName val="RES_STEEL_TO24"/>
      <sheetName val="RMZ_Summary24"/>
      <sheetName val="Materials_24"/>
      <sheetName val="Field_Values24"/>
      <sheetName val="Fin_Sum24"/>
      <sheetName val="Fill_this_out_first___24"/>
      <sheetName val="Site_Dev_BOQ24"/>
      <sheetName val="Staff_Forecast_spread24"/>
      <sheetName val="Structure_Bills_Qty24"/>
      <sheetName val="Builtup_Area24"/>
      <sheetName val="MASTER_RATE_ANALYSIS24"/>
      <sheetName val="Cop_-VGN24"/>
      <sheetName val="Pipe_Supports24"/>
      <sheetName val="MN_T_B_24"/>
      <sheetName val="BOQ_Direct_selling_cost24"/>
      <sheetName val="Stress_Calculation24"/>
      <sheetName val="IO_List24"/>
      <sheetName val="TBAL9697_-group_wise__sdpl24"/>
      <sheetName val="Exp_24"/>
      <sheetName val="INDIGINEOUS_ITEMS_24"/>
      <sheetName val="E_&amp;_R24"/>
      <sheetName val="Load_Details(B1)24"/>
      <sheetName val="Break_Dw24"/>
      <sheetName val="SPT_vs_PHI24"/>
      <sheetName val="Civil_Boq24"/>
      <sheetName val="PA-_Consutant_24"/>
      <sheetName val="Debits_as_on_12_04_0824"/>
      <sheetName val="Sheet3_(2)24"/>
      <sheetName val="INDORAMA_Group_June_0224"/>
      <sheetName val="PART-I_(2)26"/>
      <sheetName val="final_abstract26"/>
      <sheetName val="Basement_Budget25"/>
      <sheetName val="Rate_analysis25"/>
      <sheetName val="Fee_Rate_Summary25"/>
      <sheetName val="Materials_Cost25"/>
      <sheetName val="10__&amp;_11__Rate_Code_&amp;_BQ25"/>
      <sheetName val="Break_up_Sheet25"/>
      <sheetName val="B_&amp;_C_-_M_-_ccp25"/>
      <sheetName val="RES_STEEL_TO25"/>
      <sheetName val="RMZ_Summary25"/>
      <sheetName val="Materials_25"/>
      <sheetName val="Field_Values25"/>
      <sheetName val="Fin_Sum25"/>
      <sheetName val="Fill_this_out_first___25"/>
      <sheetName val="Site_Dev_BOQ25"/>
      <sheetName val="Staff_Forecast_spread25"/>
      <sheetName val="Structure_Bills_Qty25"/>
      <sheetName val="Builtup_Area25"/>
      <sheetName val="MASTER_RATE_ANALYSIS25"/>
      <sheetName val="Cop_-VGN25"/>
      <sheetName val="Pipe_Supports25"/>
      <sheetName val="MN_T_B_25"/>
      <sheetName val="BOQ_Direct_selling_cost25"/>
      <sheetName val="Stress_Calculation25"/>
      <sheetName val="IO_List25"/>
      <sheetName val="TBAL9697_-group_wise__sdpl25"/>
      <sheetName val="Exp_25"/>
      <sheetName val="INDIGINEOUS_ITEMS_25"/>
      <sheetName val="E_&amp;_R25"/>
      <sheetName val="Load_Details(B1)25"/>
      <sheetName val="Break_Dw25"/>
      <sheetName val="SPT_vs_PHI25"/>
      <sheetName val="Civil_Boq25"/>
      <sheetName val="PA-_Consutant_25"/>
      <sheetName val="Debits_as_on_12_04_0825"/>
      <sheetName val="Sheet3_(2)25"/>
      <sheetName val="INDORAMA_Group_June_0225"/>
      <sheetName val="PART-I_(2)27"/>
      <sheetName val="final_abstract27"/>
      <sheetName val="Basement_Budget26"/>
      <sheetName val="Rate_analysis26"/>
      <sheetName val="Fee_Rate_Summary26"/>
      <sheetName val="Materials_Cost26"/>
      <sheetName val="10__&amp;_11__Rate_Code_&amp;_BQ26"/>
      <sheetName val="Break_up_Sheet26"/>
      <sheetName val="B_&amp;_C_-_M_-_ccp26"/>
      <sheetName val="RES_STEEL_TO26"/>
      <sheetName val="RMZ_Summary26"/>
      <sheetName val="Materials_26"/>
      <sheetName val="Fill_this_out_first___26"/>
      <sheetName val="Cop_-VGN26"/>
      <sheetName val="Field_Values26"/>
      <sheetName val="Fin_Sum26"/>
      <sheetName val="Site_Dev_BOQ26"/>
      <sheetName val="Staff_Forecast_spread26"/>
      <sheetName val="Structure_Bills_Qty26"/>
      <sheetName val="Builtup_Area26"/>
      <sheetName val="MASTER_RATE_ANALYSIS26"/>
      <sheetName val="Pipe_Supports26"/>
      <sheetName val="MN_T_B_26"/>
      <sheetName val="BOQ_Direct_selling_cost26"/>
      <sheetName val="Stress_Calculation26"/>
      <sheetName val="IO_List26"/>
      <sheetName val="TBAL9697_-group_wise__sdpl26"/>
      <sheetName val="factor_sheet3"/>
      <sheetName val="Exp_26"/>
      <sheetName val="INDIGINEOUS_ITEMS_26"/>
      <sheetName val="E_&amp;_R26"/>
      <sheetName val="Load_Details(B1)26"/>
      <sheetName val="Break_Dw26"/>
      <sheetName val="SPT_vs_PHI26"/>
      <sheetName val="Civil_Boq26"/>
      <sheetName val="PA-_Consutant_26"/>
      <sheetName val="Debits_as_on_12_04_0826"/>
      <sheetName val="Sheet3_(2)26"/>
      <sheetName val="INDORAMA_Group_June_0226"/>
      <sheetName val="PART-I_(2)38"/>
      <sheetName val="final_abstract38"/>
      <sheetName val="Basement_Budget37"/>
      <sheetName val="Rate_analysis37"/>
      <sheetName val="Fee_Rate_Summary37"/>
      <sheetName val="Materials_Cost37"/>
      <sheetName val="10__&amp;_11__Rate_Code_&amp;_BQ37"/>
      <sheetName val="Break_up_Sheet37"/>
      <sheetName val="B_&amp;_C_-_M_-_ccp37"/>
      <sheetName val="RES_STEEL_TO37"/>
      <sheetName val="RMZ_Summary37"/>
      <sheetName val="Materials_37"/>
      <sheetName val="Field_Values37"/>
      <sheetName val="Fin_Sum37"/>
      <sheetName val="Fill_this_out_first___37"/>
      <sheetName val="Site_Dev_BOQ37"/>
      <sheetName val="Staff_Forecast_spread37"/>
      <sheetName val="Structure_Bills_Qty37"/>
      <sheetName val="Builtup_Area37"/>
      <sheetName val="MASTER_RATE_ANALYSIS37"/>
      <sheetName val="Cop_-VGN37"/>
      <sheetName val="Pipe_Supports37"/>
      <sheetName val="MN_T_B_37"/>
      <sheetName val="BOQ_Direct_selling_cost37"/>
      <sheetName val="Stress_Calculation37"/>
      <sheetName val="IO_List37"/>
      <sheetName val="TBAL9697_-group_wise__sdpl37"/>
      <sheetName val="factor_sheet12"/>
      <sheetName val="Exp_37"/>
      <sheetName val="INDIGINEOUS_ITEMS_37"/>
      <sheetName val="E_&amp;_R37"/>
      <sheetName val="Load_Details(B1)37"/>
      <sheetName val="Break_Dw37"/>
      <sheetName val="SPT_vs_PHI37"/>
      <sheetName val="Civil_Boq37"/>
      <sheetName val="PA-_Consutant_37"/>
      <sheetName val="Debits_as_on_12_04_0837"/>
      <sheetName val="Sheet3_(2)37"/>
      <sheetName val="INDORAMA_Group_June_0237"/>
      <sheetName val="PART-I_(2)29"/>
      <sheetName val="final_abstract29"/>
      <sheetName val="Basement_Budget28"/>
      <sheetName val="Rate_analysis28"/>
      <sheetName val="Fee_Rate_Summary28"/>
      <sheetName val="Materials_Cost28"/>
      <sheetName val="10__&amp;_11__Rate_Code_&amp;_BQ28"/>
      <sheetName val="Break_up_Sheet28"/>
      <sheetName val="B_&amp;_C_-_M_-_ccp28"/>
      <sheetName val="RES_STEEL_TO28"/>
      <sheetName val="RMZ_Summary28"/>
      <sheetName val="Materials_28"/>
      <sheetName val="Field_Values28"/>
      <sheetName val="Fin_Sum28"/>
      <sheetName val="Fill_this_out_first___28"/>
      <sheetName val="Site_Dev_BOQ28"/>
      <sheetName val="Staff_Forecast_spread28"/>
      <sheetName val="Structure_Bills_Qty28"/>
      <sheetName val="Builtup_Area28"/>
      <sheetName val="MASTER_RATE_ANALYSIS28"/>
      <sheetName val="Cop_-VGN28"/>
      <sheetName val="Pipe_Supports28"/>
      <sheetName val="MN_T_B_28"/>
      <sheetName val="BOQ_Direct_selling_cost28"/>
      <sheetName val="Stress_Calculation28"/>
      <sheetName val="IO_List28"/>
      <sheetName val="TBAL9697_-group_wise__sdpl28"/>
      <sheetName val="factor_sheet4"/>
      <sheetName val="Exp_28"/>
      <sheetName val="INDIGINEOUS_ITEMS_28"/>
      <sheetName val="E_&amp;_R28"/>
      <sheetName val="Load_Details(B1)28"/>
      <sheetName val="Break_Dw28"/>
      <sheetName val="SPT_vs_PHI28"/>
      <sheetName val="Civil_Boq28"/>
      <sheetName val="PA-_Consutant_28"/>
      <sheetName val="Debits_as_on_12_04_0828"/>
      <sheetName val="Sheet3_(2)28"/>
      <sheetName val="INDORAMA_Group_June_0228"/>
      <sheetName val="PART-I_(2)30"/>
      <sheetName val="final_abstract30"/>
      <sheetName val="Basement_Budget29"/>
      <sheetName val="Rate_analysis29"/>
      <sheetName val="Fee_Rate_Summary29"/>
      <sheetName val="Materials_Cost29"/>
      <sheetName val="10__&amp;_11__Rate_Code_&amp;_BQ29"/>
      <sheetName val="Break_up_Sheet29"/>
      <sheetName val="B_&amp;_C_-_M_-_ccp29"/>
      <sheetName val="RES_STEEL_TO29"/>
      <sheetName val="RMZ_Summary29"/>
      <sheetName val="Materials_29"/>
      <sheetName val="Field_Values29"/>
      <sheetName val="Fin_Sum29"/>
      <sheetName val="Fill_this_out_first___29"/>
      <sheetName val="Site_Dev_BOQ29"/>
      <sheetName val="Staff_Forecast_spread29"/>
      <sheetName val="Structure_Bills_Qty29"/>
      <sheetName val="Builtup_Area29"/>
      <sheetName val="MASTER_RATE_ANALYSIS29"/>
      <sheetName val="Cop_-VGN29"/>
      <sheetName val="Pipe_Supports29"/>
      <sheetName val="MN_T_B_29"/>
      <sheetName val="BOQ_Direct_selling_cost29"/>
      <sheetName val="Stress_Calculation29"/>
      <sheetName val="IO_List29"/>
      <sheetName val="TBAL9697_-group_wise__sdpl29"/>
      <sheetName val="factor_sheet5"/>
      <sheetName val="Exp_29"/>
      <sheetName val="INDIGINEOUS_ITEMS_29"/>
      <sheetName val="E_&amp;_R29"/>
      <sheetName val="Load_Details(B1)29"/>
      <sheetName val="Break_Dw29"/>
      <sheetName val="SPT_vs_PHI29"/>
      <sheetName val="Civil_Boq29"/>
      <sheetName val="PA-_Consutant_29"/>
      <sheetName val="Debits_as_on_12_04_0829"/>
      <sheetName val="Sheet3_(2)29"/>
      <sheetName val="INDORAMA_Group_June_0229"/>
      <sheetName val="PART-I_(2)31"/>
      <sheetName val="final_abstract31"/>
      <sheetName val="Basement_Budget30"/>
      <sheetName val="Rate_analysis30"/>
      <sheetName val="Fee_Rate_Summary30"/>
      <sheetName val="Materials_Cost30"/>
      <sheetName val="10__&amp;_11__Rate_Code_&amp;_BQ30"/>
      <sheetName val="Break_up_Sheet30"/>
      <sheetName val="B_&amp;_C_-_M_-_ccp30"/>
      <sheetName val="RES_STEEL_TO30"/>
      <sheetName val="RMZ_Summary30"/>
      <sheetName val="Materials_30"/>
      <sheetName val="Field_Values30"/>
      <sheetName val="Fin_Sum30"/>
      <sheetName val="Fill_this_out_first___30"/>
      <sheetName val="Site_Dev_BOQ30"/>
      <sheetName val="Staff_Forecast_spread30"/>
      <sheetName val="Structure_Bills_Qty30"/>
      <sheetName val="Builtup_Area30"/>
      <sheetName val="MASTER_RATE_ANALYSIS30"/>
      <sheetName val="Cop_-VGN30"/>
      <sheetName val="Pipe_Supports30"/>
      <sheetName val="MN_T_B_30"/>
      <sheetName val="BOQ_Direct_selling_cost30"/>
      <sheetName val="Stress_Calculation30"/>
      <sheetName val="IO_List30"/>
      <sheetName val="TBAL9697_-group_wise__sdpl30"/>
      <sheetName val="factor_sheet6"/>
      <sheetName val="Exp_30"/>
      <sheetName val="INDIGINEOUS_ITEMS_30"/>
      <sheetName val="E_&amp;_R30"/>
      <sheetName val="Load_Details(B1)30"/>
      <sheetName val="Break_Dw30"/>
      <sheetName val="SPT_vs_PHI30"/>
      <sheetName val="Civil_Boq30"/>
      <sheetName val="PA-_Consutant_30"/>
      <sheetName val="Debits_as_on_12_04_0830"/>
      <sheetName val="Sheet3_(2)30"/>
      <sheetName val="INDORAMA_Group_June_0230"/>
      <sheetName val="PART-I_(2)32"/>
      <sheetName val="final_abstract32"/>
      <sheetName val="Basement_Budget31"/>
      <sheetName val="Rate_analysis31"/>
      <sheetName val="Fee_Rate_Summary31"/>
      <sheetName val="Materials_Cost31"/>
      <sheetName val="10__&amp;_11__Rate_Code_&amp;_BQ31"/>
      <sheetName val="Break_up_Sheet31"/>
      <sheetName val="B_&amp;_C_-_M_-_ccp31"/>
      <sheetName val="RES_STEEL_TO31"/>
      <sheetName val="RMZ_Summary31"/>
      <sheetName val="Materials_31"/>
      <sheetName val="Field_Values31"/>
      <sheetName val="Fin_Sum31"/>
      <sheetName val="Fill_this_out_first___31"/>
      <sheetName val="Site_Dev_BOQ31"/>
      <sheetName val="Staff_Forecast_spread31"/>
      <sheetName val="Structure_Bills_Qty31"/>
      <sheetName val="Builtup_Area31"/>
      <sheetName val="MASTER_RATE_ANALYSIS31"/>
      <sheetName val="Cop_-VGN31"/>
      <sheetName val="Pipe_Supports31"/>
      <sheetName val="MN_T_B_31"/>
      <sheetName val="BOQ_Direct_selling_cost31"/>
      <sheetName val="Stress_Calculation31"/>
      <sheetName val="IO_List31"/>
      <sheetName val="TBAL9697_-group_wise__sdpl31"/>
      <sheetName val="factor_sheet7"/>
      <sheetName val="Exp_31"/>
      <sheetName val="INDIGINEOUS_ITEMS_31"/>
      <sheetName val="E_&amp;_R31"/>
      <sheetName val="Load_Details(B1)31"/>
      <sheetName val="Break_Dw31"/>
      <sheetName val="SPT_vs_PHI31"/>
      <sheetName val="Civil_Boq31"/>
      <sheetName val="PA-_Consutant_31"/>
      <sheetName val="Debits_as_on_12_04_0831"/>
      <sheetName val="Sheet3_(2)31"/>
      <sheetName val="INDORAMA_Group_June_0231"/>
      <sheetName val="PART-I_(2)34"/>
      <sheetName val="final_abstract34"/>
      <sheetName val="Basement_Budget33"/>
      <sheetName val="Rate_analysis33"/>
      <sheetName val="Fee_Rate_Summary33"/>
      <sheetName val="Materials_Cost33"/>
      <sheetName val="10__&amp;_11__Rate_Code_&amp;_BQ33"/>
      <sheetName val="Break_up_Sheet33"/>
      <sheetName val="B_&amp;_C_-_M_-_ccp33"/>
      <sheetName val="RES_STEEL_TO33"/>
      <sheetName val="RMZ_Summary33"/>
      <sheetName val="Materials_33"/>
      <sheetName val="Field_Values33"/>
      <sheetName val="Fin_Sum33"/>
      <sheetName val="Fill_this_out_first___33"/>
      <sheetName val="Site_Dev_BOQ33"/>
      <sheetName val="Staff_Forecast_spread33"/>
      <sheetName val="Structure_Bills_Qty33"/>
      <sheetName val="Builtup_Area33"/>
      <sheetName val="MASTER_RATE_ANALYSIS33"/>
      <sheetName val="Cop_-VGN33"/>
      <sheetName val="Pipe_Supports33"/>
      <sheetName val="MN_T_B_33"/>
      <sheetName val="BOQ_Direct_selling_cost33"/>
      <sheetName val="Stress_Calculation33"/>
      <sheetName val="IO_List33"/>
      <sheetName val="TBAL9697_-group_wise__sdpl33"/>
      <sheetName val="Exp_33"/>
      <sheetName val="INDIGINEOUS_ITEMS_33"/>
      <sheetName val="E_&amp;_R33"/>
      <sheetName val="Load_Details(B1)33"/>
      <sheetName val="Break_Dw33"/>
      <sheetName val="SPT_vs_PHI33"/>
      <sheetName val="Civil_Boq33"/>
      <sheetName val="PA-_Consutant_33"/>
      <sheetName val="Debits_as_on_12_04_0833"/>
      <sheetName val="Sheet3_(2)33"/>
      <sheetName val="INDORAMA_Group_June_0233"/>
      <sheetName val="PART-I_(2)33"/>
      <sheetName val="final_abstract33"/>
      <sheetName val="Basement_Budget32"/>
      <sheetName val="Rate_analysis32"/>
      <sheetName val="Fee_Rate_Summary32"/>
      <sheetName val="Materials_Cost32"/>
      <sheetName val="10__&amp;_11__Rate_Code_&amp;_BQ32"/>
      <sheetName val="Break_up_Sheet32"/>
      <sheetName val="B_&amp;_C_-_M_-_ccp32"/>
      <sheetName val="RES_STEEL_TO32"/>
      <sheetName val="RMZ_Summary32"/>
      <sheetName val="Materials_32"/>
      <sheetName val="Field_Values32"/>
      <sheetName val="Fin_Sum32"/>
      <sheetName val="Fill_this_out_first___32"/>
      <sheetName val="Site_Dev_BOQ32"/>
      <sheetName val="Staff_Forecast_spread32"/>
      <sheetName val="Structure_Bills_Qty32"/>
      <sheetName val="Builtup_Area32"/>
      <sheetName val="MASTER_RATE_ANALYSIS32"/>
      <sheetName val="Cop_-VGN32"/>
      <sheetName val="Pipe_Supports32"/>
      <sheetName val="MN_T_B_32"/>
      <sheetName val="BOQ_Direct_selling_cost32"/>
      <sheetName val="Stress_Calculation32"/>
      <sheetName val="IO_List32"/>
      <sheetName val="TBAL9697_-group_wise__sdpl32"/>
      <sheetName val="factor_sheet8"/>
      <sheetName val="Exp_32"/>
      <sheetName val="INDIGINEOUS_ITEMS_32"/>
      <sheetName val="E_&amp;_R32"/>
      <sheetName val="Load_Details(B1)32"/>
      <sheetName val="Break_Dw32"/>
      <sheetName val="SPT_vs_PHI32"/>
      <sheetName val="Civil_Boq32"/>
      <sheetName val="PA-_Consutant_32"/>
      <sheetName val="Debits_as_on_12_04_0832"/>
      <sheetName val="Sheet3_(2)32"/>
      <sheetName val="INDORAMA_Group_June_0232"/>
      <sheetName val="PART-I_(2)35"/>
      <sheetName val="final_abstract35"/>
      <sheetName val="Basement_Budget34"/>
      <sheetName val="Rate_analysis34"/>
      <sheetName val="Fee_Rate_Summary34"/>
      <sheetName val="Materials_Cost34"/>
      <sheetName val="10__&amp;_11__Rate_Code_&amp;_BQ34"/>
      <sheetName val="Break_up_Sheet34"/>
      <sheetName val="B_&amp;_C_-_M_-_ccp34"/>
      <sheetName val="RES_STEEL_TO34"/>
      <sheetName val="RMZ_Summary34"/>
      <sheetName val="Materials_34"/>
      <sheetName val="Field_Values34"/>
      <sheetName val="Fin_Sum34"/>
      <sheetName val="Fill_this_out_first___34"/>
      <sheetName val="Site_Dev_BOQ34"/>
      <sheetName val="Staff_Forecast_spread34"/>
      <sheetName val="Structure_Bills_Qty34"/>
      <sheetName val="Builtup_Area34"/>
      <sheetName val="MASTER_RATE_ANALYSIS34"/>
      <sheetName val="Cop_-VGN34"/>
      <sheetName val="Pipe_Supports34"/>
      <sheetName val="MN_T_B_34"/>
      <sheetName val="BOQ_Direct_selling_cost34"/>
      <sheetName val="Stress_Calculation34"/>
      <sheetName val="IO_List34"/>
      <sheetName val="TBAL9697_-group_wise__sdpl34"/>
      <sheetName val="factor_sheet9"/>
      <sheetName val="Exp_34"/>
      <sheetName val="INDIGINEOUS_ITEMS_34"/>
      <sheetName val="E_&amp;_R34"/>
      <sheetName val="Load_Details(B1)34"/>
      <sheetName val="Break_Dw34"/>
      <sheetName val="SPT_vs_PHI34"/>
      <sheetName val="Civil_Boq34"/>
      <sheetName val="PA-_Consutant_34"/>
      <sheetName val="Debits_as_on_12_04_0834"/>
      <sheetName val="Sheet3_(2)34"/>
      <sheetName val="INDORAMA_Group_June_0234"/>
      <sheetName val="PART-I_(2)36"/>
      <sheetName val="final_abstract36"/>
      <sheetName val="Basement_Budget35"/>
      <sheetName val="Rate_analysis35"/>
      <sheetName val="Fee_Rate_Summary35"/>
      <sheetName val="Materials_Cost35"/>
      <sheetName val="10__&amp;_11__Rate_Code_&amp;_BQ35"/>
      <sheetName val="Break_up_Sheet35"/>
      <sheetName val="B_&amp;_C_-_M_-_ccp35"/>
      <sheetName val="RES_STEEL_TO35"/>
      <sheetName val="RMZ_Summary35"/>
      <sheetName val="Materials_35"/>
      <sheetName val="Field_Values35"/>
      <sheetName val="Fin_Sum35"/>
      <sheetName val="Fill_this_out_first___35"/>
      <sheetName val="Site_Dev_BOQ35"/>
      <sheetName val="Staff_Forecast_spread35"/>
      <sheetName val="Structure_Bills_Qty35"/>
      <sheetName val="Builtup_Area35"/>
      <sheetName val="MASTER_RATE_ANALYSIS35"/>
      <sheetName val="Cop_-VGN35"/>
      <sheetName val="Pipe_Supports35"/>
      <sheetName val="MN_T_B_35"/>
      <sheetName val="BOQ_Direct_selling_cost35"/>
      <sheetName val="Stress_Calculation35"/>
      <sheetName val="IO_List35"/>
      <sheetName val="TBAL9697_-group_wise__sdpl35"/>
      <sheetName val="factor_sheet10"/>
      <sheetName val="Exp_35"/>
      <sheetName val="INDIGINEOUS_ITEMS_35"/>
      <sheetName val="E_&amp;_R35"/>
      <sheetName val="Load_Details(B1)35"/>
      <sheetName val="Break_Dw35"/>
      <sheetName val="SPT_vs_PHI35"/>
      <sheetName val="Civil_Boq35"/>
      <sheetName val="PA-_Consutant_35"/>
      <sheetName val="Debits_as_on_12_04_0835"/>
      <sheetName val="Sheet3_(2)35"/>
      <sheetName val="INDORAMA_Group_June_0235"/>
      <sheetName val="PART-I_(2)37"/>
      <sheetName val="final_abstract37"/>
      <sheetName val="Basement_Budget36"/>
      <sheetName val="Rate_analysis36"/>
      <sheetName val="Fee_Rate_Summary36"/>
      <sheetName val="Materials_Cost36"/>
      <sheetName val="10__&amp;_11__Rate_Code_&amp;_BQ36"/>
      <sheetName val="Break_up_Sheet36"/>
      <sheetName val="B_&amp;_C_-_M_-_ccp36"/>
      <sheetName val="RES_STEEL_TO36"/>
      <sheetName val="RMZ_Summary36"/>
      <sheetName val="Materials_36"/>
      <sheetName val="Field_Values36"/>
      <sheetName val="Fin_Sum36"/>
      <sheetName val="Fill_this_out_first___36"/>
      <sheetName val="Site_Dev_BOQ36"/>
      <sheetName val="Staff_Forecast_spread36"/>
      <sheetName val="Structure_Bills_Qty36"/>
      <sheetName val="Builtup_Area36"/>
      <sheetName val="MASTER_RATE_ANALYSIS36"/>
      <sheetName val="Cop_-VGN36"/>
      <sheetName val="Pipe_Supports36"/>
      <sheetName val="MN_T_B_36"/>
      <sheetName val="BOQ_Direct_selling_cost36"/>
      <sheetName val="Stress_Calculation36"/>
      <sheetName val="IO_List36"/>
      <sheetName val="TBAL9697_-group_wise__sdpl36"/>
      <sheetName val="factor_sheet11"/>
      <sheetName val="Exp_36"/>
      <sheetName val="INDIGINEOUS_ITEMS_36"/>
      <sheetName val="E_&amp;_R36"/>
      <sheetName val="Load_Details(B1)36"/>
      <sheetName val="Break_Dw36"/>
      <sheetName val="SPT_vs_PHI36"/>
      <sheetName val="Civil_Boq36"/>
      <sheetName val="PA-_Consutant_36"/>
      <sheetName val="Debits_as_on_12_04_0836"/>
      <sheetName val="Sheet3_(2)36"/>
      <sheetName val="INDORAMA_Group_June_0236"/>
      <sheetName val="PART-I_(2)44"/>
      <sheetName val="final_abstract44"/>
      <sheetName val="Basement_Budget43"/>
      <sheetName val="Rate_analysis43"/>
      <sheetName val="Fee_Rate_Summary43"/>
      <sheetName val="Materials_Cost43"/>
      <sheetName val="10__&amp;_11__Rate_Code_&amp;_BQ43"/>
      <sheetName val="Break_up_Sheet43"/>
      <sheetName val="B_&amp;_C_-_M_-_ccp43"/>
      <sheetName val="RES_STEEL_TO43"/>
      <sheetName val="RMZ_Summary43"/>
      <sheetName val="Materials_43"/>
      <sheetName val="Field_Values43"/>
      <sheetName val="Fin_Sum43"/>
      <sheetName val="Fill_this_out_first___43"/>
      <sheetName val="Site_Dev_BOQ43"/>
      <sheetName val="Staff_Forecast_spread43"/>
      <sheetName val="Structure_Bills_Qty43"/>
      <sheetName val="Builtup_Area43"/>
      <sheetName val="MASTER_RATE_ANALYSIS43"/>
      <sheetName val="Cop_-VGN43"/>
      <sheetName val="Pipe_Supports43"/>
      <sheetName val="MN_T_B_43"/>
      <sheetName val="BOQ_Direct_selling_cost43"/>
      <sheetName val="Stress_Calculation43"/>
      <sheetName val="IO_List43"/>
      <sheetName val="TBAL9697_-group_wise__sdpl43"/>
      <sheetName val="factor_sheet16"/>
      <sheetName val="Exp_43"/>
      <sheetName val="INDIGINEOUS_ITEMS_43"/>
      <sheetName val="E_&amp;_R43"/>
      <sheetName val="Load_Details(B1)43"/>
      <sheetName val="Break_Dw43"/>
      <sheetName val="SPT_vs_PHI43"/>
      <sheetName val="Civil_Boq43"/>
      <sheetName val="PA-_Consutant_43"/>
      <sheetName val="Debits_as_on_12_04_0843"/>
      <sheetName val="Sheet3_(2)43"/>
      <sheetName val="INDORAMA_Group_June_0243"/>
      <sheetName val="PART-I_(2)39"/>
      <sheetName val="final_abstract39"/>
      <sheetName val="Basement_Budget38"/>
      <sheetName val="Rate_analysis38"/>
      <sheetName val="Fee_Rate_Summary38"/>
      <sheetName val="Materials_Cost38"/>
      <sheetName val="10__&amp;_11__Rate_Code_&amp;_BQ38"/>
      <sheetName val="Break_up_Sheet38"/>
      <sheetName val="B_&amp;_C_-_M_-_ccp38"/>
      <sheetName val="RES_STEEL_TO38"/>
      <sheetName val="RMZ_Summary38"/>
      <sheetName val="Materials_38"/>
      <sheetName val="Field_Values38"/>
      <sheetName val="Fin_Sum38"/>
      <sheetName val="Fill_this_out_first___38"/>
      <sheetName val="Site_Dev_BOQ38"/>
      <sheetName val="Staff_Forecast_spread38"/>
      <sheetName val="Structure_Bills_Qty38"/>
      <sheetName val="Builtup_Area38"/>
      <sheetName val="MASTER_RATE_ANALYSIS38"/>
      <sheetName val="Cop_-VGN38"/>
      <sheetName val="Pipe_Supports38"/>
      <sheetName val="MN_T_B_38"/>
      <sheetName val="BOQ_Direct_selling_cost38"/>
      <sheetName val="Stress_Calculation38"/>
      <sheetName val="IO_List38"/>
      <sheetName val="TBAL9697_-group_wise__sdpl38"/>
      <sheetName val="Exp_38"/>
      <sheetName val="INDIGINEOUS_ITEMS_38"/>
      <sheetName val="E_&amp;_R38"/>
      <sheetName val="Load_Details(B1)38"/>
      <sheetName val="Break_Dw38"/>
      <sheetName val="SPT_vs_PHI38"/>
      <sheetName val="Civil_Boq38"/>
      <sheetName val="PA-_Consutant_38"/>
      <sheetName val="Debits_as_on_12_04_0838"/>
      <sheetName val="Sheet3_(2)38"/>
      <sheetName val="INDORAMA_Group_June_0238"/>
      <sheetName val="PART-I_(2)40"/>
      <sheetName val="final_abstract40"/>
      <sheetName val="Basement_Budget39"/>
      <sheetName val="Rate_analysis39"/>
      <sheetName val="Fee_Rate_Summary39"/>
      <sheetName val="Materials_Cost39"/>
      <sheetName val="10__&amp;_11__Rate_Code_&amp;_BQ39"/>
      <sheetName val="Break_up_Sheet39"/>
      <sheetName val="B_&amp;_C_-_M_-_ccp39"/>
      <sheetName val="RES_STEEL_TO39"/>
      <sheetName val="RMZ_Summary39"/>
      <sheetName val="Materials_39"/>
      <sheetName val="Field_Values39"/>
      <sheetName val="Fin_Sum39"/>
      <sheetName val="Fill_this_out_first___39"/>
      <sheetName val="Site_Dev_BOQ39"/>
      <sheetName val="Staff_Forecast_spread39"/>
      <sheetName val="Structure_Bills_Qty39"/>
      <sheetName val="Builtup_Area39"/>
      <sheetName val="MASTER_RATE_ANALYSIS39"/>
      <sheetName val="Cop_-VGN39"/>
      <sheetName val="Pipe_Supports39"/>
      <sheetName val="MN_T_B_39"/>
      <sheetName val="BOQ_Direct_selling_cost39"/>
      <sheetName val="Stress_Calculation39"/>
      <sheetName val="IO_List39"/>
      <sheetName val="TBAL9697_-group_wise__sdpl39"/>
      <sheetName val="Exp_39"/>
      <sheetName val="INDIGINEOUS_ITEMS_39"/>
      <sheetName val="E_&amp;_R39"/>
      <sheetName val="Load_Details(B1)39"/>
      <sheetName val="Break_Dw39"/>
      <sheetName val="SPT_vs_PHI39"/>
      <sheetName val="Civil_Boq39"/>
      <sheetName val="PA-_Consutant_39"/>
      <sheetName val="Debits_as_on_12_04_0839"/>
      <sheetName val="Sheet3_(2)39"/>
      <sheetName val="INDORAMA_Group_June_0239"/>
      <sheetName val="PART-I_(2)42"/>
      <sheetName val="final_abstract42"/>
      <sheetName val="Basement_Budget41"/>
      <sheetName val="Rate_analysis41"/>
      <sheetName val="Fee_Rate_Summary41"/>
      <sheetName val="Materials_Cost41"/>
      <sheetName val="10__&amp;_11__Rate_Code_&amp;_BQ41"/>
      <sheetName val="Break_up_Sheet41"/>
      <sheetName val="B_&amp;_C_-_M_-_ccp41"/>
      <sheetName val="RES_STEEL_TO41"/>
      <sheetName val="RMZ_Summary41"/>
      <sheetName val="Materials_41"/>
      <sheetName val="Field_Values41"/>
      <sheetName val="Fin_Sum41"/>
      <sheetName val="Fill_this_out_first___41"/>
      <sheetName val="Site_Dev_BOQ41"/>
      <sheetName val="Staff_Forecast_spread41"/>
      <sheetName val="Structure_Bills_Qty41"/>
      <sheetName val="Builtup_Area41"/>
      <sheetName val="MASTER_RATE_ANALYSIS41"/>
      <sheetName val="Cop_-VGN41"/>
      <sheetName val="Pipe_Supports41"/>
      <sheetName val="MN_T_B_41"/>
      <sheetName val="BOQ_Direct_selling_cost41"/>
      <sheetName val="Stress_Calculation41"/>
      <sheetName val="IO_List41"/>
      <sheetName val="TBAL9697_-group_wise__sdpl41"/>
      <sheetName val="factor_sheet14"/>
      <sheetName val="Exp_41"/>
      <sheetName val="INDIGINEOUS_ITEMS_41"/>
      <sheetName val="E_&amp;_R41"/>
      <sheetName val="Load_Details(B1)41"/>
      <sheetName val="Break_Dw41"/>
      <sheetName val="SPT_vs_PHI41"/>
      <sheetName val="Civil_Boq41"/>
      <sheetName val="PA-_Consutant_41"/>
      <sheetName val="Debits_as_on_12_04_0841"/>
      <sheetName val="Sheet3_(2)41"/>
      <sheetName val="INDORAMA_Group_June_0241"/>
      <sheetName val="PART-I_(2)41"/>
      <sheetName val="final_abstract41"/>
      <sheetName val="Basement_Budget40"/>
      <sheetName val="Rate_analysis40"/>
      <sheetName val="Fee_Rate_Summary40"/>
      <sheetName val="Materials_Cost40"/>
      <sheetName val="10__&amp;_11__Rate_Code_&amp;_BQ40"/>
      <sheetName val="Break_up_Sheet40"/>
      <sheetName val="B_&amp;_C_-_M_-_ccp40"/>
      <sheetName val="RES_STEEL_TO40"/>
      <sheetName val="RMZ_Summary40"/>
      <sheetName val="Materials_40"/>
      <sheetName val="Field_Values40"/>
      <sheetName val="Fin_Sum40"/>
      <sheetName val="Fill_this_out_first___40"/>
      <sheetName val="Site_Dev_BOQ40"/>
      <sheetName val="Staff_Forecast_spread40"/>
      <sheetName val="Structure_Bills_Qty40"/>
      <sheetName val="Builtup_Area40"/>
      <sheetName val="MASTER_RATE_ANALYSIS40"/>
      <sheetName val="Cop_-VGN40"/>
      <sheetName val="Pipe_Supports40"/>
      <sheetName val="MN_T_B_40"/>
      <sheetName val="BOQ_Direct_selling_cost40"/>
      <sheetName val="Stress_Calculation40"/>
      <sheetName val="IO_List40"/>
      <sheetName val="TBAL9697_-group_wise__sdpl40"/>
      <sheetName val="factor_sheet13"/>
      <sheetName val="Exp_40"/>
      <sheetName val="INDIGINEOUS_ITEMS_40"/>
      <sheetName val="E_&amp;_R40"/>
      <sheetName val="Load_Details(B1)40"/>
      <sheetName val="Break_Dw40"/>
      <sheetName val="SPT_vs_PHI40"/>
      <sheetName val="Civil_Boq40"/>
      <sheetName val="PA-_Consutant_40"/>
      <sheetName val="Debits_as_on_12_04_0840"/>
      <sheetName val="Sheet3_(2)40"/>
      <sheetName val="INDORAMA_Group_June_0240"/>
      <sheetName val="PART-I_(2)43"/>
      <sheetName val="final_abstract43"/>
      <sheetName val="Basement_Budget42"/>
      <sheetName val="Rate_analysis42"/>
      <sheetName val="Fee_Rate_Summary42"/>
      <sheetName val="Materials_Cost42"/>
      <sheetName val="10__&amp;_11__Rate_Code_&amp;_BQ42"/>
      <sheetName val="Break_up_Sheet42"/>
      <sheetName val="B_&amp;_C_-_M_-_ccp42"/>
      <sheetName val="RES_STEEL_TO42"/>
      <sheetName val="RMZ_Summary42"/>
      <sheetName val="Materials_42"/>
      <sheetName val="Field_Values42"/>
      <sheetName val="Fin_Sum42"/>
      <sheetName val="Fill_this_out_first___42"/>
      <sheetName val="Site_Dev_BOQ42"/>
      <sheetName val="Staff_Forecast_spread42"/>
      <sheetName val="Structure_Bills_Qty42"/>
      <sheetName val="Builtup_Area42"/>
      <sheetName val="MASTER_RATE_ANALYSIS42"/>
      <sheetName val="Cop_-VGN42"/>
      <sheetName val="Pipe_Supports42"/>
      <sheetName val="MN_T_B_42"/>
      <sheetName val="BOQ_Direct_selling_cost42"/>
      <sheetName val="Stress_Calculation42"/>
      <sheetName val="IO_List42"/>
      <sheetName val="TBAL9697_-group_wise__sdpl42"/>
      <sheetName val="factor_sheet15"/>
      <sheetName val="Exp_42"/>
      <sheetName val="INDIGINEOUS_ITEMS_42"/>
      <sheetName val="E_&amp;_R42"/>
      <sheetName val="Load_Details(B1)42"/>
      <sheetName val="Break_Dw42"/>
      <sheetName val="SPT_vs_PHI42"/>
      <sheetName val="Civil_Boq42"/>
      <sheetName val="PA-_Consutant_42"/>
      <sheetName val="Debits_as_on_12_04_0842"/>
      <sheetName val="Sheet3_(2)42"/>
      <sheetName val="INDORAMA_Group_June_0242"/>
      <sheetName val="PART-I_(2)45"/>
      <sheetName val="final_abstract45"/>
      <sheetName val="Basement_Budget44"/>
      <sheetName val="Rate_analysis44"/>
      <sheetName val="Fee_Rate_Summary44"/>
      <sheetName val="Materials_Cost44"/>
      <sheetName val="10__&amp;_11__Rate_Code_&amp;_BQ44"/>
      <sheetName val="Break_up_Sheet44"/>
      <sheetName val="B_&amp;_C_-_M_-_ccp44"/>
      <sheetName val="RES_STEEL_TO44"/>
      <sheetName val="RMZ_Summary44"/>
      <sheetName val="Materials_44"/>
      <sheetName val="Field_Values44"/>
      <sheetName val="Fin_Sum44"/>
      <sheetName val="Fill_this_out_first___44"/>
      <sheetName val="Site_Dev_BOQ44"/>
      <sheetName val="Staff_Forecast_spread44"/>
      <sheetName val="Structure_Bills_Qty44"/>
      <sheetName val="Builtup_Area44"/>
      <sheetName val="MASTER_RATE_ANALYSIS44"/>
      <sheetName val="Cop_-VGN44"/>
      <sheetName val="Pipe_Supports44"/>
      <sheetName val="MN_T_B_44"/>
      <sheetName val="BOQ_Direct_selling_cost44"/>
      <sheetName val="Stress_Calculation44"/>
      <sheetName val="IO_List44"/>
      <sheetName val="TBAL9697_-group_wise__sdpl44"/>
      <sheetName val="factor_sheet17"/>
      <sheetName val="Exp_44"/>
      <sheetName val="INDIGINEOUS_ITEMS_44"/>
      <sheetName val="E_&amp;_R44"/>
      <sheetName val="Load_Details(B1)44"/>
      <sheetName val="Break_Dw44"/>
      <sheetName val="SPT_vs_PHI44"/>
      <sheetName val="Civil_Boq44"/>
      <sheetName val="PA-_Consutant_44"/>
      <sheetName val="Debits_as_on_12_04_0844"/>
      <sheetName val="Sheet3_(2)44"/>
      <sheetName val="INDORAMA_Group_June_0244"/>
      <sheetName val="PART-I_(2)58"/>
      <sheetName val="final_abstract58"/>
      <sheetName val="Basement_Budget57"/>
      <sheetName val="Rate_analysis57"/>
      <sheetName val="Fee_Rate_Summary57"/>
      <sheetName val="Materials_Cost57"/>
      <sheetName val="10__&amp;_11__Rate_Code_&amp;_BQ57"/>
      <sheetName val="Break_up_Sheet57"/>
      <sheetName val="B_&amp;_C_-_M_-_ccp57"/>
      <sheetName val="RES_STEEL_TO57"/>
      <sheetName val="RMZ_Summary57"/>
      <sheetName val="Materials_57"/>
      <sheetName val="Field_Values57"/>
      <sheetName val="Fin_Sum57"/>
      <sheetName val="Fill_this_out_first___57"/>
      <sheetName val="Site_Dev_BOQ57"/>
      <sheetName val="Staff_Forecast_spread57"/>
      <sheetName val="Structure_Bills_Qty57"/>
      <sheetName val="Builtup_Area57"/>
      <sheetName val="MASTER_RATE_ANALYSIS57"/>
      <sheetName val="Cop_-VGN57"/>
      <sheetName val="Pipe_Supports57"/>
      <sheetName val="MN_T_B_57"/>
      <sheetName val="BOQ_Direct_selling_cost57"/>
      <sheetName val="Stress_Calculation57"/>
      <sheetName val="IO_List57"/>
      <sheetName val="TBAL9697_-group_wise__sdpl57"/>
      <sheetName val="factor_sheet30"/>
      <sheetName val="Exp_57"/>
      <sheetName val="INDIGINEOUS_ITEMS_57"/>
      <sheetName val="E_&amp;_R57"/>
      <sheetName val="Load_Details(B1)57"/>
      <sheetName val="Break_Dw57"/>
      <sheetName val="SPT_vs_PHI57"/>
      <sheetName val="Civil_Boq57"/>
      <sheetName val="PA-_Consutant_57"/>
      <sheetName val="Debits_as_on_12_04_0857"/>
      <sheetName val="Sheet3_(2)57"/>
      <sheetName val="INDORAMA_Group_June_0257"/>
      <sheetName val="PART-I_(2)46"/>
      <sheetName val="final_abstract46"/>
      <sheetName val="Basement_Budget45"/>
      <sheetName val="Rate_analysis45"/>
      <sheetName val="Fee_Rate_Summary45"/>
      <sheetName val="Materials_Cost45"/>
      <sheetName val="10__&amp;_11__Rate_Code_&amp;_BQ45"/>
      <sheetName val="Break_up_Sheet45"/>
      <sheetName val="B_&amp;_C_-_M_-_ccp45"/>
      <sheetName val="RES_STEEL_TO45"/>
      <sheetName val="RMZ_Summary45"/>
      <sheetName val="Materials_45"/>
      <sheetName val="Field_Values45"/>
      <sheetName val="Fin_Sum45"/>
      <sheetName val="Fill_this_out_first___45"/>
      <sheetName val="Site_Dev_BOQ45"/>
      <sheetName val="Staff_Forecast_spread45"/>
      <sheetName val="Structure_Bills_Qty45"/>
      <sheetName val="Builtup_Area45"/>
      <sheetName val="MASTER_RATE_ANALYSIS45"/>
      <sheetName val="Cop_-VGN45"/>
      <sheetName val="Pipe_Supports45"/>
      <sheetName val="MN_T_B_45"/>
      <sheetName val="BOQ_Direct_selling_cost45"/>
      <sheetName val="Stress_Calculation45"/>
      <sheetName val="IO_List45"/>
      <sheetName val="TBAL9697_-group_wise__sdpl45"/>
      <sheetName val="factor_sheet18"/>
      <sheetName val="Exp_45"/>
      <sheetName val="INDIGINEOUS_ITEMS_45"/>
      <sheetName val="E_&amp;_R45"/>
      <sheetName val="Load_Details(B1)45"/>
      <sheetName val="Break_Dw45"/>
      <sheetName val="SPT_vs_PHI45"/>
      <sheetName val="Civil_Boq45"/>
      <sheetName val="PA-_Consutant_45"/>
      <sheetName val="Debits_as_on_12_04_0845"/>
      <sheetName val="Sheet3_(2)45"/>
      <sheetName val="INDORAMA_Group_June_0245"/>
      <sheetName val="PART-I_(2)47"/>
      <sheetName val="final_abstract47"/>
      <sheetName val="Basement_Budget46"/>
      <sheetName val="Rate_analysis46"/>
      <sheetName val="Fee_Rate_Summary46"/>
      <sheetName val="Materials_Cost46"/>
      <sheetName val="10__&amp;_11__Rate_Code_&amp;_BQ46"/>
      <sheetName val="Break_up_Sheet46"/>
      <sheetName val="B_&amp;_C_-_M_-_ccp46"/>
      <sheetName val="RES_STEEL_TO46"/>
      <sheetName val="RMZ_Summary46"/>
      <sheetName val="Materials_46"/>
      <sheetName val="Field_Values46"/>
      <sheetName val="Fin_Sum46"/>
      <sheetName val="Fill_this_out_first___46"/>
      <sheetName val="Site_Dev_BOQ46"/>
      <sheetName val="Staff_Forecast_spread46"/>
      <sheetName val="Structure_Bills_Qty46"/>
      <sheetName val="Builtup_Area46"/>
      <sheetName val="MASTER_RATE_ANALYSIS46"/>
      <sheetName val="Cop_-VGN46"/>
      <sheetName val="Pipe_Supports46"/>
      <sheetName val="MN_T_B_46"/>
      <sheetName val="BOQ_Direct_selling_cost46"/>
      <sheetName val="Stress_Calculation46"/>
      <sheetName val="IO_List46"/>
      <sheetName val="TBAL9697_-group_wise__sdpl46"/>
      <sheetName val="factor_sheet19"/>
      <sheetName val="Exp_46"/>
      <sheetName val="INDIGINEOUS_ITEMS_46"/>
      <sheetName val="E_&amp;_R46"/>
      <sheetName val="Load_Details(B1)46"/>
      <sheetName val="Break_Dw46"/>
      <sheetName val="SPT_vs_PHI46"/>
      <sheetName val="Civil_Boq46"/>
      <sheetName val="PA-_Consutant_46"/>
      <sheetName val="Debits_as_on_12_04_0846"/>
      <sheetName val="Sheet3_(2)46"/>
      <sheetName val="INDORAMA_Group_June_0246"/>
      <sheetName val="PART-I_(2)50"/>
      <sheetName val="final_abstract50"/>
      <sheetName val="Basement_Budget49"/>
      <sheetName val="Rate_analysis49"/>
      <sheetName val="Fee_Rate_Summary49"/>
      <sheetName val="Materials_Cost49"/>
      <sheetName val="10__&amp;_11__Rate_Code_&amp;_BQ49"/>
      <sheetName val="Break_up_Sheet49"/>
      <sheetName val="B_&amp;_C_-_M_-_ccp49"/>
      <sheetName val="RES_STEEL_TO49"/>
      <sheetName val="RMZ_Summary49"/>
      <sheetName val="Materials_49"/>
      <sheetName val="Field_Values49"/>
      <sheetName val="Fin_Sum49"/>
      <sheetName val="Fill_this_out_first___49"/>
      <sheetName val="Site_Dev_BOQ49"/>
      <sheetName val="Staff_Forecast_spread49"/>
      <sheetName val="Structure_Bills_Qty49"/>
      <sheetName val="Builtup_Area49"/>
      <sheetName val="MASTER_RATE_ANALYSIS49"/>
      <sheetName val="Cop_-VGN49"/>
      <sheetName val="Pipe_Supports49"/>
      <sheetName val="MN_T_B_49"/>
      <sheetName val="BOQ_Direct_selling_cost49"/>
      <sheetName val="Stress_Calculation49"/>
      <sheetName val="IO_List49"/>
      <sheetName val="TBAL9697_-group_wise__sdpl49"/>
      <sheetName val="factor_sheet22"/>
      <sheetName val="Exp_49"/>
      <sheetName val="INDIGINEOUS_ITEMS_49"/>
      <sheetName val="E_&amp;_R49"/>
      <sheetName val="Load_Details(B1)49"/>
      <sheetName val="Break_Dw49"/>
      <sheetName val="SPT_vs_PHI49"/>
      <sheetName val="Civil_Boq49"/>
      <sheetName val="PA-_Consutant_49"/>
      <sheetName val="Debits_as_on_12_04_0849"/>
      <sheetName val="Sheet3_(2)49"/>
      <sheetName val="INDORAMA_Group_June_0249"/>
      <sheetName val="PART-I_(2)48"/>
      <sheetName val="final_abstract48"/>
      <sheetName val="Basement_Budget47"/>
      <sheetName val="Rate_analysis47"/>
      <sheetName val="Fee_Rate_Summary47"/>
      <sheetName val="Materials_Cost47"/>
      <sheetName val="10__&amp;_11__Rate_Code_&amp;_BQ47"/>
      <sheetName val="Break_up_Sheet47"/>
      <sheetName val="B_&amp;_C_-_M_-_ccp47"/>
      <sheetName val="RES_STEEL_TO47"/>
      <sheetName val="RMZ_Summary47"/>
      <sheetName val="Materials_47"/>
      <sheetName val="Field_Values47"/>
      <sheetName val="Fin_Sum47"/>
      <sheetName val="Fill_this_out_first___47"/>
      <sheetName val="Site_Dev_BOQ47"/>
      <sheetName val="Staff_Forecast_spread47"/>
      <sheetName val="Structure_Bills_Qty47"/>
      <sheetName val="Builtup_Area47"/>
      <sheetName val="MASTER_RATE_ANALYSIS47"/>
      <sheetName val="Cop_-VGN47"/>
      <sheetName val="Pipe_Supports47"/>
      <sheetName val="MN_T_B_47"/>
      <sheetName val="BOQ_Direct_selling_cost47"/>
      <sheetName val="Stress_Calculation47"/>
      <sheetName val="IO_List47"/>
      <sheetName val="TBAL9697_-group_wise__sdpl47"/>
      <sheetName val="factor_sheet20"/>
      <sheetName val="Exp_47"/>
      <sheetName val="INDIGINEOUS_ITEMS_47"/>
      <sheetName val="E_&amp;_R47"/>
      <sheetName val="Load_Details(B1)47"/>
      <sheetName val="Break_Dw47"/>
      <sheetName val="SPT_vs_PHI47"/>
      <sheetName val="Civil_Boq47"/>
      <sheetName val="PA-_Consutant_47"/>
      <sheetName val="Debits_as_on_12_04_0847"/>
      <sheetName val="Sheet3_(2)47"/>
      <sheetName val="INDORAMA_Group_June_0247"/>
      <sheetName val="PART-I_(2)49"/>
      <sheetName val="final_abstract49"/>
      <sheetName val="Basement_Budget48"/>
      <sheetName val="Rate_analysis48"/>
      <sheetName val="Fee_Rate_Summary48"/>
      <sheetName val="Materials_Cost48"/>
      <sheetName val="10__&amp;_11__Rate_Code_&amp;_BQ48"/>
      <sheetName val="Break_up_Sheet48"/>
      <sheetName val="B_&amp;_C_-_M_-_ccp48"/>
      <sheetName val="RES_STEEL_TO48"/>
      <sheetName val="RMZ_Summary48"/>
      <sheetName val="Materials_48"/>
      <sheetName val="Field_Values48"/>
      <sheetName val="Fin_Sum48"/>
      <sheetName val="Fill_this_out_first___48"/>
      <sheetName val="Site_Dev_BOQ48"/>
      <sheetName val="Staff_Forecast_spread48"/>
      <sheetName val="Structure_Bills_Qty48"/>
      <sheetName val="Builtup_Area48"/>
      <sheetName val="MASTER_RATE_ANALYSIS48"/>
      <sheetName val="Cop_-VGN48"/>
      <sheetName val="Pipe_Supports48"/>
      <sheetName val="MN_T_B_48"/>
      <sheetName val="BOQ_Direct_selling_cost48"/>
      <sheetName val="Stress_Calculation48"/>
      <sheetName val="IO_List48"/>
      <sheetName val="TBAL9697_-group_wise__sdpl48"/>
      <sheetName val="factor_sheet21"/>
      <sheetName val="Exp_48"/>
      <sheetName val="INDIGINEOUS_ITEMS_48"/>
      <sheetName val="E_&amp;_R48"/>
      <sheetName val="Load_Details(B1)48"/>
      <sheetName val="Break_Dw48"/>
      <sheetName val="SPT_vs_PHI48"/>
      <sheetName val="Civil_Boq48"/>
      <sheetName val="PA-_Consutant_48"/>
      <sheetName val="Debits_as_on_12_04_0848"/>
      <sheetName val="Sheet3_(2)48"/>
      <sheetName val="INDORAMA_Group_June_0248"/>
      <sheetName val="PART-I_(2)51"/>
      <sheetName val="final_abstract51"/>
      <sheetName val="Basement_Budget50"/>
      <sheetName val="Rate_analysis50"/>
      <sheetName val="Fee_Rate_Summary50"/>
      <sheetName val="Materials_Cost50"/>
      <sheetName val="10__&amp;_11__Rate_Code_&amp;_BQ50"/>
      <sheetName val="Break_up_Sheet50"/>
      <sheetName val="B_&amp;_C_-_M_-_ccp50"/>
      <sheetName val="RES_STEEL_TO50"/>
      <sheetName val="RMZ_Summary50"/>
      <sheetName val="Materials_50"/>
      <sheetName val="Field_Values50"/>
      <sheetName val="Fin_Sum50"/>
      <sheetName val="Fill_this_out_first___50"/>
      <sheetName val="Site_Dev_BOQ50"/>
      <sheetName val="Staff_Forecast_spread50"/>
      <sheetName val="Structure_Bills_Qty50"/>
      <sheetName val="Builtup_Area50"/>
      <sheetName val="MASTER_RATE_ANALYSIS50"/>
      <sheetName val="Cop_-VGN50"/>
      <sheetName val="Pipe_Supports50"/>
      <sheetName val="MN_T_B_50"/>
      <sheetName val="BOQ_Direct_selling_cost50"/>
      <sheetName val="Stress_Calculation50"/>
      <sheetName val="IO_List50"/>
      <sheetName val="TBAL9697_-group_wise__sdpl50"/>
      <sheetName val="factor_sheet23"/>
      <sheetName val="Exp_50"/>
      <sheetName val="INDIGINEOUS_ITEMS_50"/>
      <sheetName val="E_&amp;_R50"/>
      <sheetName val="Load_Details(B1)50"/>
      <sheetName val="Break_Dw50"/>
      <sheetName val="SPT_vs_PHI50"/>
      <sheetName val="Civil_Boq50"/>
      <sheetName val="PA-_Consutant_50"/>
      <sheetName val="Debits_as_on_12_04_0850"/>
      <sheetName val="Sheet3_(2)50"/>
      <sheetName val="INDORAMA_Group_June_0250"/>
      <sheetName val="PART-I_(2)52"/>
      <sheetName val="final_abstract52"/>
      <sheetName val="Basement_Budget51"/>
      <sheetName val="Rate_analysis51"/>
      <sheetName val="Fee_Rate_Summary51"/>
      <sheetName val="Materials_Cost51"/>
      <sheetName val="10__&amp;_11__Rate_Code_&amp;_BQ51"/>
      <sheetName val="Break_up_Sheet51"/>
      <sheetName val="B_&amp;_C_-_M_-_ccp51"/>
      <sheetName val="RES_STEEL_TO51"/>
      <sheetName val="RMZ_Summary51"/>
      <sheetName val="Materials_51"/>
      <sheetName val="Field_Values51"/>
      <sheetName val="Fin_Sum51"/>
      <sheetName val="Fill_this_out_first___51"/>
      <sheetName val="Site_Dev_BOQ51"/>
      <sheetName val="Staff_Forecast_spread51"/>
      <sheetName val="Structure_Bills_Qty51"/>
      <sheetName val="Builtup_Area51"/>
      <sheetName val="MASTER_RATE_ANALYSIS51"/>
      <sheetName val="Cop_-VGN51"/>
      <sheetName val="Pipe_Supports51"/>
      <sheetName val="MN_T_B_51"/>
      <sheetName val="BOQ_Direct_selling_cost51"/>
      <sheetName val="Stress_Calculation51"/>
      <sheetName val="IO_List51"/>
      <sheetName val="TBAL9697_-group_wise__sdpl51"/>
      <sheetName val="factor_sheet24"/>
      <sheetName val="Exp_51"/>
      <sheetName val="INDIGINEOUS_ITEMS_51"/>
      <sheetName val="E_&amp;_R51"/>
      <sheetName val="Load_Details(B1)51"/>
      <sheetName val="Break_Dw51"/>
      <sheetName val="SPT_vs_PHI51"/>
      <sheetName val="Civil_Boq51"/>
      <sheetName val="PA-_Consutant_51"/>
      <sheetName val="Debits_as_on_12_04_0851"/>
      <sheetName val="Sheet3_(2)51"/>
      <sheetName val="INDORAMA_Group_June_0251"/>
      <sheetName val="PART-I_(2)53"/>
      <sheetName val="final_abstract53"/>
      <sheetName val="Basement_Budget52"/>
      <sheetName val="Rate_analysis52"/>
      <sheetName val="Fee_Rate_Summary52"/>
      <sheetName val="Materials_Cost52"/>
      <sheetName val="10__&amp;_11__Rate_Code_&amp;_BQ52"/>
      <sheetName val="Break_up_Sheet52"/>
      <sheetName val="B_&amp;_C_-_M_-_ccp52"/>
      <sheetName val="RES_STEEL_TO52"/>
      <sheetName val="RMZ_Summary52"/>
      <sheetName val="Materials_52"/>
      <sheetName val="Field_Values52"/>
      <sheetName val="Fin_Sum52"/>
      <sheetName val="Fill_this_out_first___52"/>
      <sheetName val="Site_Dev_BOQ52"/>
      <sheetName val="Staff_Forecast_spread52"/>
      <sheetName val="Structure_Bills_Qty52"/>
      <sheetName val="Builtup_Area52"/>
      <sheetName val="MASTER_RATE_ANALYSIS52"/>
      <sheetName val="Cop_-VGN52"/>
      <sheetName val="Pipe_Supports52"/>
      <sheetName val="MN_T_B_52"/>
      <sheetName val="BOQ_Direct_selling_cost52"/>
      <sheetName val="Stress_Calculation52"/>
      <sheetName val="IO_List52"/>
      <sheetName val="TBAL9697_-group_wise__sdpl52"/>
      <sheetName val="factor_sheet25"/>
      <sheetName val="Exp_52"/>
      <sheetName val="INDIGINEOUS_ITEMS_52"/>
      <sheetName val="E_&amp;_R52"/>
      <sheetName val="Load_Details(B1)52"/>
      <sheetName val="Break_Dw52"/>
      <sheetName val="SPT_vs_PHI52"/>
      <sheetName val="Civil_Boq52"/>
      <sheetName val="PA-_Consutant_52"/>
      <sheetName val="Debits_as_on_12_04_0852"/>
      <sheetName val="Sheet3_(2)52"/>
      <sheetName val="INDORAMA_Group_June_0252"/>
      <sheetName val="PART-I_(2)54"/>
      <sheetName val="final_abstract54"/>
      <sheetName val="Basement_Budget53"/>
      <sheetName val="Rate_analysis53"/>
      <sheetName val="Fee_Rate_Summary53"/>
      <sheetName val="Materials_Cost53"/>
      <sheetName val="10__&amp;_11__Rate_Code_&amp;_BQ53"/>
      <sheetName val="Break_up_Sheet53"/>
      <sheetName val="B_&amp;_C_-_M_-_ccp53"/>
      <sheetName val="RES_STEEL_TO53"/>
      <sheetName val="RMZ_Summary53"/>
      <sheetName val="Materials_53"/>
      <sheetName val="Field_Values53"/>
      <sheetName val="Fin_Sum53"/>
      <sheetName val="Fill_this_out_first___53"/>
      <sheetName val="Site_Dev_BOQ53"/>
      <sheetName val="Staff_Forecast_spread53"/>
      <sheetName val="Structure_Bills_Qty53"/>
      <sheetName val="Builtup_Area53"/>
      <sheetName val="MASTER_RATE_ANALYSIS53"/>
      <sheetName val="Cop_-VGN53"/>
      <sheetName val="Pipe_Supports53"/>
      <sheetName val="MN_T_B_53"/>
      <sheetName val="BOQ_Direct_selling_cost53"/>
      <sheetName val="Stress_Calculation53"/>
      <sheetName val="IO_List53"/>
      <sheetName val="TBAL9697_-group_wise__sdpl53"/>
      <sheetName val="factor_sheet26"/>
      <sheetName val="Exp_53"/>
      <sheetName val="INDIGINEOUS_ITEMS_53"/>
      <sheetName val="E_&amp;_R53"/>
      <sheetName val="Load_Details(B1)53"/>
      <sheetName val="Break_Dw53"/>
      <sheetName val="SPT_vs_PHI53"/>
      <sheetName val="Civil_Boq53"/>
      <sheetName val="PA-_Consutant_53"/>
      <sheetName val="Debits_as_on_12_04_0853"/>
      <sheetName val="Sheet3_(2)53"/>
      <sheetName val="INDORAMA_Group_June_0253"/>
      <sheetName val="PART-I_(2)55"/>
      <sheetName val="final_abstract55"/>
      <sheetName val="Basement_Budget54"/>
      <sheetName val="Rate_analysis54"/>
      <sheetName val="Fee_Rate_Summary54"/>
      <sheetName val="Materials_Cost54"/>
      <sheetName val="10__&amp;_11__Rate_Code_&amp;_BQ54"/>
      <sheetName val="Break_up_Sheet54"/>
      <sheetName val="B_&amp;_C_-_M_-_ccp54"/>
      <sheetName val="RES_STEEL_TO54"/>
      <sheetName val="RMZ_Summary54"/>
      <sheetName val="Materials_54"/>
      <sheetName val="Field_Values54"/>
      <sheetName val="Fin_Sum54"/>
      <sheetName val="Fill_this_out_first___54"/>
      <sheetName val="Site_Dev_BOQ54"/>
      <sheetName val="Staff_Forecast_spread54"/>
      <sheetName val="Structure_Bills_Qty54"/>
      <sheetName val="Builtup_Area54"/>
      <sheetName val="MASTER_RATE_ANALYSIS54"/>
      <sheetName val="Cop_-VGN54"/>
      <sheetName val="Pipe_Supports54"/>
      <sheetName val="MN_T_B_54"/>
      <sheetName val="BOQ_Direct_selling_cost54"/>
      <sheetName val="Stress_Calculation54"/>
      <sheetName val="IO_List54"/>
      <sheetName val="TBAL9697_-group_wise__sdpl54"/>
      <sheetName val="factor_sheet27"/>
      <sheetName val="Exp_54"/>
      <sheetName val="INDIGINEOUS_ITEMS_54"/>
      <sheetName val="E_&amp;_R54"/>
      <sheetName val="Load_Details(B1)54"/>
      <sheetName val="Break_Dw54"/>
      <sheetName val="SPT_vs_PHI54"/>
      <sheetName val="Civil_Boq54"/>
      <sheetName val="PA-_Consutant_54"/>
      <sheetName val="Debits_as_on_12_04_0854"/>
      <sheetName val="Sheet3_(2)54"/>
      <sheetName val="INDORAMA_Group_June_0254"/>
      <sheetName val="PART-I_(2)57"/>
      <sheetName val="final_abstract57"/>
      <sheetName val="Basement_Budget56"/>
      <sheetName val="Rate_analysis56"/>
      <sheetName val="Fee_Rate_Summary56"/>
      <sheetName val="Materials_Cost56"/>
      <sheetName val="10__&amp;_11__Rate_Code_&amp;_BQ56"/>
      <sheetName val="Break_up_Sheet56"/>
      <sheetName val="B_&amp;_C_-_M_-_ccp56"/>
      <sheetName val="RES_STEEL_TO56"/>
      <sheetName val="RMZ_Summary56"/>
      <sheetName val="Materials_56"/>
      <sheetName val="Field_Values56"/>
      <sheetName val="Fin_Sum56"/>
      <sheetName val="Fill_this_out_first___56"/>
      <sheetName val="Site_Dev_BOQ56"/>
      <sheetName val="Staff_Forecast_spread56"/>
      <sheetName val="Structure_Bills_Qty56"/>
      <sheetName val="Builtup_Area56"/>
      <sheetName val="MASTER_RATE_ANALYSIS56"/>
      <sheetName val="Cop_-VGN56"/>
      <sheetName val="Pipe_Supports56"/>
      <sheetName val="MN_T_B_56"/>
      <sheetName val="BOQ_Direct_selling_cost56"/>
      <sheetName val="Stress_Calculation56"/>
      <sheetName val="IO_List56"/>
      <sheetName val="TBAL9697_-group_wise__sdpl56"/>
      <sheetName val="factor_sheet29"/>
      <sheetName val="Exp_56"/>
      <sheetName val="INDIGINEOUS_ITEMS_56"/>
      <sheetName val="E_&amp;_R56"/>
      <sheetName val="Load_Details(B1)56"/>
      <sheetName val="Break_Dw56"/>
      <sheetName val="SPT_vs_PHI56"/>
      <sheetName val="Civil_Boq56"/>
      <sheetName val="PA-_Consutant_56"/>
      <sheetName val="Debits_as_on_12_04_0856"/>
      <sheetName val="Sheet3_(2)56"/>
      <sheetName val="INDORAMA_Group_June_0256"/>
      <sheetName val="PART-I_(2)56"/>
      <sheetName val="final_abstract56"/>
      <sheetName val="Basement_Budget55"/>
      <sheetName val="Rate_analysis55"/>
      <sheetName val="Fee_Rate_Summary55"/>
      <sheetName val="Materials_Cost55"/>
      <sheetName val="10__&amp;_11__Rate_Code_&amp;_BQ55"/>
      <sheetName val="Break_up_Sheet55"/>
      <sheetName val="B_&amp;_C_-_M_-_ccp55"/>
      <sheetName val="RES_STEEL_TO55"/>
      <sheetName val="RMZ_Summary55"/>
      <sheetName val="Materials_55"/>
      <sheetName val="Field_Values55"/>
      <sheetName val="Fin_Sum55"/>
      <sheetName val="Fill_this_out_first___55"/>
      <sheetName val="Site_Dev_BOQ55"/>
      <sheetName val="Staff_Forecast_spread55"/>
      <sheetName val="Structure_Bills_Qty55"/>
      <sheetName val="Builtup_Area55"/>
      <sheetName val="MASTER_RATE_ANALYSIS55"/>
      <sheetName val="Cop_-VGN55"/>
      <sheetName val="Pipe_Supports55"/>
      <sheetName val="MN_T_B_55"/>
      <sheetName val="BOQ_Direct_selling_cost55"/>
      <sheetName val="Stress_Calculation55"/>
      <sheetName val="IO_List55"/>
      <sheetName val="TBAL9697_-group_wise__sdpl55"/>
      <sheetName val="factor_sheet28"/>
      <sheetName val="Exp_55"/>
      <sheetName val="INDIGINEOUS_ITEMS_55"/>
      <sheetName val="E_&amp;_R55"/>
      <sheetName val="Load_Details(B1)55"/>
      <sheetName val="Break_Dw55"/>
      <sheetName val="SPT_vs_PHI55"/>
      <sheetName val="Civil_Boq55"/>
      <sheetName val="PA-_Consutant_55"/>
      <sheetName val="Debits_as_on_12_04_0855"/>
      <sheetName val="Sheet3_(2)55"/>
      <sheetName val="INDORAMA_Group_June_0255"/>
      <sheetName val="PART-I_(2)59"/>
      <sheetName val="final_abstract59"/>
      <sheetName val="Basement_Budget58"/>
      <sheetName val="Rate_analysis58"/>
      <sheetName val="Fee_Rate_Summary58"/>
      <sheetName val="Materials_Cost58"/>
      <sheetName val="10__&amp;_11__Rate_Code_&amp;_BQ58"/>
      <sheetName val="Break_up_Sheet58"/>
      <sheetName val="B_&amp;_C_-_M_-_ccp58"/>
      <sheetName val="RES_STEEL_TO58"/>
      <sheetName val="RMZ_Summary58"/>
      <sheetName val="Materials_58"/>
      <sheetName val="Field_Values58"/>
      <sheetName val="Fin_Sum58"/>
      <sheetName val="Fill_this_out_first___58"/>
      <sheetName val="Site_Dev_BOQ58"/>
      <sheetName val="Staff_Forecast_spread58"/>
      <sheetName val="Structure_Bills_Qty58"/>
      <sheetName val="Builtup_Area58"/>
      <sheetName val="MASTER_RATE_ANALYSIS58"/>
      <sheetName val="Cop_-VGN58"/>
      <sheetName val="Pipe_Supports58"/>
      <sheetName val="MN_T_B_58"/>
      <sheetName val="BOQ_Direct_selling_cost58"/>
      <sheetName val="Stress_Calculation58"/>
      <sheetName val="IO_List58"/>
      <sheetName val="TBAL9697_-group_wise__sdpl58"/>
      <sheetName val="factor_sheet31"/>
      <sheetName val="Exp_58"/>
      <sheetName val="INDIGINEOUS_ITEMS_58"/>
      <sheetName val="E_&amp;_R58"/>
      <sheetName val="Load_Details(B1)58"/>
      <sheetName val="Break_Dw58"/>
      <sheetName val="SPT_vs_PHI58"/>
      <sheetName val="Civil_Boq58"/>
      <sheetName val="PA-_Consutant_58"/>
      <sheetName val="Debits_as_on_12_04_0858"/>
      <sheetName val="Sheet3_(2)58"/>
      <sheetName val="INDORAMA_Group_June_0258"/>
      <sheetName val="PART-I_(2)60"/>
      <sheetName val="final_abstract60"/>
      <sheetName val="Basement_Budget59"/>
      <sheetName val="Rate_analysis59"/>
      <sheetName val="Fee_Rate_Summary59"/>
      <sheetName val="Materials_Cost59"/>
      <sheetName val="10__&amp;_11__Rate_Code_&amp;_BQ59"/>
      <sheetName val="Break_up_Sheet59"/>
      <sheetName val="B_&amp;_C_-_M_-_ccp59"/>
      <sheetName val="RES_STEEL_TO59"/>
      <sheetName val="RMZ_Summary59"/>
      <sheetName val="Materials_59"/>
      <sheetName val="Field_Values59"/>
      <sheetName val="Fin_Sum59"/>
      <sheetName val="Fill_this_out_first___59"/>
      <sheetName val="Site_Dev_BOQ59"/>
      <sheetName val="Staff_Forecast_spread59"/>
      <sheetName val="Structure_Bills_Qty59"/>
      <sheetName val="Builtup_Area59"/>
      <sheetName val="MASTER_RATE_ANALYSIS59"/>
      <sheetName val="Cop_-VGN59"/>
      <sheetName val="Pipe_Supports59"/>
      <sheetName val="MN_T_B_59"/>
      <sheetName val="BOQ_Direct_selling_cost59"/>
      <sheetName val="Stress_Calculation59"/>
      <sheetName val="IO_List59"/>
      <sheetName val="TBAL9697_-group_wise__sdpl59"/>
      <sheetName val="factor_sheet32"/>
      <sheetName val="Exp_59"/>
      <sheetName val="INDIGINEOUS_ITEMS_59"/>
      <sheetName val="E_&amp;_R59"/>
      <sheetName val="Load_Details(B1)59"/>
      <sheetName val="Break_Dw59"/>
      <sheetName val="SPT_vs_PHI59"/>
      <sheetName val="Civil_Boq59"/>
      <sheetName val="PA-_Consutant_59"/>
      <sheetName val="Debits_as_on_12_04_0859"/>
      <sheetName val="Sheet3_(2)59"/>
      <sheetName val="INDORAMA_Group_June_0259"/>
      <sheetName val="PART-I_(2)61"/>
      <sheetName val="final_abstract61"/>
      <sheetName val="Basement_Budget60"/>
      <sheetName val="Rate_analysis60"/>
      <sheetName val="Fee_Rate_Summary60"/>
      <sheetName val="Materials_Cost60"/>
      <sheetName val="10__&amp;_11__Rate_Code_&amp;_BQ60"/>
      <sheetName val="Break_up_Sheet60"/>
      <sheetName val="B_&amp;_C_-_M_-_ccp60"/>
      <sheetName val="RES_STEEL_TO60"/>
      <sheetName val="RMZ_Summary60"/>
      <sheetName val="Materials_60"/>
      <sheetName val="Field_Values60"/>
      <sheetName val="Fin_Sum60"/>
      <sheetName val="Fill_this_out_first___60"/>
      <sheetName val="Site_Dev_BOQ60"/>
      <sheetName val="Staff_Forecast_spread60"/>
      <sheetName val="Structure_Bills_Qty60"/>
      <sheetName val="Builtup_Area60"/>
      <sheetName val="MASTER_RATE_ANALYSIS60"/>
      <sheetName val="Cop_-VGN60"/>
      <sheetName val="Pipe_Supports60"/>
      <sheetName val="MN_T_B_60"/>
      <sheetName val="BOQ_Direct_selling_cost60"/>
      <sheetName val="Stress_Calculation60"/>
      <sheetName val="IO_List60"/>
      <sheetName val="TBAL9697_-group_wise__sdpl60"/>
      <sheetName val="factor_sheet33"/>
      <sheetName val="Exp_60"/>
      <sheetName val="INDIGINEOUS_ITEMS_60"/>
      <sheetName val="E_&amp;_R60"/>
      <sheetName val="Load_Details(B1)60"/>
      <sheetName val="Break_Dw60"/>
      <sheetName val="SPT_vs_PHI60"/>
      <sheetName val="Civil_Boq60"/>
      <sheetName val="PA-_Consutant_60"/>
      <sheetName val="Debits_as_on_12_04_0860"/>
      <sheetName val="Sheet3_(2)60"/>
      <sheetName val="INDORAMA_Group_June_0260"/>
      <sheetName val="Abs PMRL"/>
      <sheetName val="s"/>
      <sheetName val="Baricading"/>
      <sheetName val="TEXT"/>
      <sheetName val="Cleaning &amp; Grubbing"/>
      <sheetName val="Name List"/>
      <sheetName val="ecc_res"/>
      <sheetName val="water prop."/>
      <sheetName val="BHANDUP"/>
      <sheetName val="Control"/>
      <sheetName val="PROG_DATA"/>
      <sheetName val="detail'02"/>
      <sheetName val="Door Qty"/>
      <sheetName val="Win Qty"/>
      <sheetName val="ICO_budzet_97"/>
      <sheetName val="sheet6"/>
      <sheetName val="Costing-blk-B"/>
      <sheetName val="inWords"/>
      <sheetName val="Mar Roster"/>
      <sheetName val="Master"/>
      <sheetName val="Basic"/>
      <sheetName val="Capital Structure"/>
      <sheetName val="Actuals_by_Job"/>
      <sheetName val="Outlook"/>
      <sheetName val="compare"/>
      <sheetName val="Price Comparison"/>
      <sheetName val="BLOCK-A (MEA.SHEET)"/>
      <sheetName val="Insts"/>
      <sheetName val="PRICE-COMP"/>
      <sheetName val="India F&amp;S Template"/>
      <sheetName val="DETAILED  BOQ"/>
      <sheetName val="R20_R30_work"/>
      <sheetName val="PRSH"/>
      <sheetName val="Results"/>
      <sheetName val="PLGroupings"/>
      <sheetName val="List"/>
      <sheetName val="BASIS -DEC 08"/>
      <sheetName val=" "/>
      <sheetName val="costing sheet"/>
      <sheetName val="R.A."/>
      <sheetName val="Recap."/>
      <sheetName val="Abstract"/>
      <sheetName val="Schedule A1"/>
      <sheetName val="Abstract (Buyback)"/>
      <sheetName val="Civil RA"/>
      <sheetName val="Plumbing RA"/>
      <sheetName val="Electrical  RA"/>
      <sheetName val="ELV RA"/>
      <sheetName val="FFTG RA"/>
      <sheetName val="HVAC RA"/>
      <sheetName val="Furniture RA"/>
      <sheetName val="Kichen Equi. RA"/>
      <sheetName val="drg"/>
      <sheetName val="0"/>
      <sheetName val="CUM-Mar07"/>
      <sheetName val="CRM"/>
      <sheetName val="A3"/>
      <sheetName val="BUD 07-08"/>
      <sheetName val="HIDE"/>
      <sheetName val="XL"/>
      <sheetName val="Vind-BtB"/>
      <sheetName val="UNP-NCW "/>
      <sheetName val="Codes"/>
      <sheetName val="Final Basic rate"/>
      <sheetName val="Labels"/>
      <sheetName val="intr_stool_brkup"/>
      <sheetName val="Process"/>
      <sheetName val="P&amp;L-BDMC"/>
      <sheetName val="Elect."/>
      <sheetName val="pri-com"/>
      <sheetName val="Step 1"/>
      <sheetName val="Assumptions-Input"/>
      <sheetName val="RP2"/>
      <sheetName val="Quantity"/>
      <sheetName val="Param"/>
      <sheetName val="dummy"/>
      <sheetName val="PART-I_(2)62"/>
      <sheetName val="final_abstract62"/>
      <sheetName val="Basement_Budget61"/>
      <sheetName val="Rate_analysis61"/>
      <sheetName val="Fee_Rate_Summary61"/>
      <sheetName val="Materials_Cost61"/>
      <sheetName val="10__&amp;_11__Rate_Code_&amp;_BQ61"/>
      <sheetName val="Break_up_Sheet61"/>
      <sheetName val="B_&amp;_C_-_M_-_ccp61"/>
      <sheetName val="RES_STEEL_TO61"/>
      <sheetName val="RMZ_Summary61"/>
      <sheetName val="Materials_61"/>
      <sheetName val="Field_Values61"/>
      <sheetName val="Fin_Sum61"/>
      <sheetName val="Fill_this_out_first___61"/>
      <sheetName val="Site_Dev_BOQ61"/>
      <sheetName val="Staff_Forecast_spread61"/>
      <sheetName val="Structure_Bills_Qty61"/>
      <sheetName val="Builtup_Area61"/>
      <sheetName val="MASTER_RATE_ANALYSIS61"/>
      <sheetName val="Cop_-VGN61"/>
      <sheetName val="Pipe_Supports61"/>
      <sheetName val="MN_T_B_61"/>
      <sheetName val="BOQ_Direct_selling_cost61"/>
      <sheetName val="Stress_Calculation61"/>
      <sheetName val="IO_List61"/>
      <sheetName val="TBAL9697_-group_wise__sdpl61"/>
      <sheetName val="factor_sheet34"/>
      <sheetName val="Exp_61"/>
      <sheetName val="INDIGINEOUS_ITEMS_61"/>
      <sheetName val="E_&amp;_R61"/>
      <sheetName val="Load_Details(B1)61"/>
      <sheetName val="Break_Dw61"/>
      <sheetName val="SPT_vs_PHI61"/>
      <sheetName val="Civil_Boq61"/>
      <sheetName val="PA-_Consutant_61"/>
      <sheetName val="Debits_as_on_12_04_0861"/>
      <sheetName val="Sheet3_(2)61"/>
      <sheetName val="INDORAMA_Group_June_0261"/>
      <sheetName val="Project Budget Worksheet"/>
      <sheetName val="All Components Report"/>
      <sheetName val="Site"/>
      <sheetName val="2.1 受電設備棟"/>
      <sheetName val="2.2 受・防火水槽"/>
      <sheetName val="2.3 排水処理設備棟"/>
      <sheetName val="2.4 倉庫棟"/>
      <sheetName val="2.5 守衛棟"/>
      <sheetName val="old boq"/>
      <sheetName val="girder"/>
      <sheetName val="Intro"/>
      <sheetName val="Cover"/>
      <sheetName val="DATA-BASE"/>
      <sheetName val="DATA-ABSTRACT"/>
      <sheetName val="v"/>
      <sheetName val="DATA SHEET FOR 2014-15"/>
      <sheetName val="abs_CWrising"/>
      <sheetName val="abs-ph"/>
      <sheetName val="abs_sum&amp;cwr"/>
      <sheetName val="cons_sq_I"/>
      <sheetName val="Plant &amp;  Machinery"/>
      <sheetName val="Source Ref."/>
      <sheetName val="look-dept"/>
      <sheetName val="Bill 1-BOQ-Civil Works"/>
      <sheetName val="Amort"/>
      <sheetName val="AmortRef"/>
      <sheetName val="Names&amp;Cases"/>
      <sheetName val="Global Assmptions"/>
      <sheetName val="Data sheet"/>
      <sheetName val="conc-foot-gradeslab"/>
      <sheetName val="Parameter"/>
      <sheetName val="site fab&amp;ernstr"/>
      <sheetName val="NRC Rationalisation"/>
      <sheetName val="BOQ_Distribution"/>
      <sheetName val="horizontal"/>
      <sheetName val="foot-slab reinft"/>
      <sheetName val="ENCL9"/>
      <sheetName val="RCC,Ret__Wall4"/>
      <sheetName val="RA_4_Challan_Summary_4"/>
      <sheetName val="Labour_productivity4"/>
      <sheetName val="labour_coeff4"/>
      <sheetName val="RCC,Ret__Wall3"/>
      <sheetName val="RA_4_Challan_Summary_3"/>
      <sheetName val="Labour_productivity3"/>
      <sheetName val="labour_coeff3"/>
      <sheetName val="RCC,Ret__Wall5"/>
      <sheetName val="RA_4_Challan_Summary_5"/>
      <sheetName val="Labour_productivity5"/>
      <sheetName val="labour_coeff5"/>
      <sheetName val="RCC,Ret__Wall6"/>
      <sheetName val="RA_4_Challan_Summary_6"/>
      <sheetName val="Labour_productivity6"/>
      <sheetName val="labour_coeff6"/>
      <sheetName val="RCC,Ret__Wall12"/>
      <sheetName val="RA_4_Challan_Summary_12"/>
      <sheetName val="Labour_productivity12"/>
      <sheetName val="labour_coeff12"/>
      <sheetName val="RCC,Ret__Wall7"/>
      <sheetName val="RA_4_Challan_Summary_7"/>
      <sheetName val="Labour_productivity7"/>
      <sheetName val="labour_coeff7"/>
      <sheetName val="RCC,Ret__Wall11"/>
      <sheetName val="RA_4_Challan_Summary_11"/>
      <sheetName val="Labour_productivity11"/>
      <sheetName val="labour_coeff11"/>
      <sheetName val="RCC,Ret__Wall8"/>
      <sheetName val="RA_4_Challan_Summary_8"/>
      <sheetName val="Labour_productivity8"/>
      <sheetName val="labour_coeff8"/>
      <sheetName val="RCC,Ret__Wall9"/>
      <sheetName val="RA_4_Challan_Summary_9"/>
      <sheetName val="Labour_productivity9"/>
      <sheetName val="labour_coeff9"/>
      <sheetName val="RCC,Ret__Wall10"/>
      <sheetName val="RA_4_Challan_Summary_10"/>
      <sheetName val="Labour_productivity10"/>
      <sheetName val="labour_coeff10"/>
      <sheetName val="RCC,Ret__Wall13"/>
      <sheetName val="RA_4_Challan_Summary_13"/>
      <sheetName val="Labour_productivity13"/>
      <sheetName val="labour_coeff13"/>
      <sheetName val="RCC,Ret__Wall14"/>
      <sheetName val="RA_4_Challan_Summary_14"/>
      <sheetName val="Labour_productivity14"/>
      <sheetName val="labour_coeff14"/>
      <sheetName val="RCC,Ret__Wall15"/>
      <sheetName val="RA_4_Challan_Summary_15"/>
      <sheetName val="Labour_productivity15"/>
      <sheetName val="labour_coeff15"/>
      <sheetName val="RCC,Ret__Wall16"/>
      <sheetName val="RA_4_Challan_Summary_16"/>
      <sheetName val="Labour_productivity16"/>
      <sheetName val="labour_coeff16"/>
      <sheetName val="RCC,Ret__Wall18"/>
      <sheetName val="RA_4_Challan_Summary_18"/>
      <sheetName val="Labour_productivity18"/>
      <sheetName val="labour_coeff18"/>
      <sheetName val="RCC,Ret__Wall17"/>
      <sheetName val="RA_4_Challan_Summary_17"/>
      <sheetName val="Labour_productivity17"/>
      <sheetName val="labour_coeff17"/>
      <sheetName val="RCC,Ret__Wall20"/>
      <sheetName val="RA_4_Challan_Summary_20"/>
      <sheetName val="Labour_productivity20"/>
      <sheetName val="labour_coeff20"/>
      <sheetName val="RCC,Ret__Wall19"/>
      <sheetName val="RA_4_Challan_Summary_19"/>
      <sheetName val="Labour_productivity19"/>
      <sheetName val="labour_coeff19"/>
      <sheetName val="RCC,Ret__Wall21"/>
      <sheetName val="RA_4_Challan_Summary_21"/>
      <sheetName val="Labour_productivity21"/>
      <sheetName val="labour_coeff21"/>
      <sheetName val="RCC,Ret__Wall22"/>
      <sheetName val="RA_4_Challan_Summary_22"/>
      <sheetName val="Labour_productivity22"/>
      <sheetName val="labour_coeff22"/>
      <sheetName val="RCC,Ret__Wall23"/>
      <sheetName val="RA_4_Challan_Summary_23"/>
      <sheetName val="Labour_productivity23"/>
      <sheetName val="labour_coeff23"/>
      <sheetName val="RCC,Ret__Wall24"/>
      <sheetName val="RA_4_Challan_Summary_24"/>
      <sheetName val="Labour_productivity24"/>
      <sheetName val="labour_coeff24"/>
      <sheetName val="RCC,Ret__Wall26"/>
      <sheetName val="RA_4_Challan_Summary_26"/>
      <sheetName val="Labour_productivity26"/>
      <sheetName val="labour_coeff26"/>
      <sheetName val="RCC,Ret__Wall25"/>
      <sheetName val="RA_4_Challan_Summary_25"/>
      <sheetName val="Labour_productivity25"/>
      <sheetName val="labour_coeff25"/>
      <sheetName val="RCC,Ret__Wall29"/>
      <sheetName val="RA_4_Challan_Summary_29"/>
      <sheetName val="Labour_productivity29"/>
      <sheetName val="labour_coeff29"/>
      <sheetName val="RCC,Ret__Wall28"/>
      <sheetName val="RA_4_Challan_Summary_28"/>
      <sheetName val="Labour_productivity28"/>
      <sheetName val="labour_coeff28"/>
      <sheetName val="RCC,Ret__Wall27"/>
      <sheetName val="RA_4_Challan_Summary_27"/>
      <sheetName val="Labour_productivity27"/>
      <sheetName val="labour_coeff27"/>
      <sheetName val="RCC,Ret__Wall30"/>
      <sheetName val="RA_4_Challan_Summary_30"/>
      <sheetName val="Labour_productivity30"/>
      <sheetName val="labour_coeff30"/>
      <sheetName val="RCC,Ret__Wall31"/>
      <sheetName val="RA_4_Challan_Summary_31"/>
      <sheetName val="Labour_productivity31"/>
      <sheetName val="labour_coeff31"/>
      <sheetName val="RCC,Ret__Wall33"/>
      <sheetName val="RA_4_Challan_Summary_33"/>
      <sheetName val="Labour_productivity33"/>
      <sheetName val="labour_coeff33"/>
      <sheetName val="RCC,Ret__Wall32"/>
      <sheetName val="RA_4_Challan_Summary_32"/>
      <sheetName val="Labour_productivity32"/>
      <sheetName val="labour_coeff32"/>
      <sheetName val="RCC,Ret__Wall36"/>
      <sheetName val="RA_4_Challan_Summary_36"/>
      <sheetName val="Labour_productivity36"/>
      <sheetName val="labour_coeff36"/>
      <sheetName val="RCC,Ret__Wall35"/>
      <sheetName val="RA_4_Challan_Summary_35"/>
      <sheetName val="Labour_productivity35"/>
      <sheetName val="labour_coeff35"/>
      <sheetName val="RCC,Ret__Wall34"/>
      <sheetName val="RA_4_Challan_Summary_34"/>
      <sheetName val="Labour_productivity34"/>
      <sheetName val="labour_coeff34"/>
      <sheetName val="RCC,Ret__Wall37"/>
      <sheetName val="RA_4_Challan_Summary_37"/>
      <sheetName val="Labour_productivity37"/>
      <sheetName val="labour_coeff37"/>
      <sheetName val="Labour Rate "/>
      <sheetName val="Material List "/>
      <sheetName val="beam-reinft-IIInd_floor1"/>
      <sheetName val="ORDER_BOOKING1"/>
      <sheetName val="CABLE_DATA1"/>
      <sheetName val="Approved_MTD_Proj_#'s1"/>
      <sheetName val="For_Bill-04_PS1"/>
      <sheetName val="BOQ_(2)2"/>
      <sheetName val="Staff_Acco_1"/>
      <sheetName val="Section_Catalogue1"/>
      <sheetName val="M_B-QtyRecn3"/>
      <sheetName val="Mat_Cost3"/>
      <sheetName val="GR_slab-reinft1"/>
      <sheetName val="Bed_Class6"/>
      <sheetName val="PH_data1"/>
      <sheetName val="Details_(3)1"/>
      <sheetName val="Desgn(zone_I)6"/>
      <sheetName val="NLD_-_Assum1"/>
      <sheetName val="schedule_nos1"/>
      <sheetName val="Sqn__Main__Abs1"/>
      <sheetName val="ACAD_Finishes2"/>
      <sheetName val="Site_Details2"/>
      <sheetName val="Site_Area_Statement2"/>
      <sheetName val="M-Book_for_Conc1"/>
      <sheetName val="M-Book_for_FW1"/>
      <sheetName val="INPUT_SHEET1"/>
      <sheetName val="PACK_(B)1"/>
      <sheetName val="BOQ_civil1"/>
      <sheetName val="Staircase_1"/>
      <sheetName val="bill_21"/>
      <sheetName val="Column_Steel-R21"/>
      <sheetName val="std_wt_1"/>
      <sheetName val="d-safe_specs1"/>
      <sheetName val="d-safe_DELUXE1"/>
      <sheetName val="Diawise_steel_abstract1"/>
      <sheetName val="Rising_Main1"/>
      <sheetName val="Material_1"/>
      <sheetName val="Estimate_1"/>
      <sheetName val="QS_Name1"/>
      <sheetName val="CANDY_BOQ1"/>
      <sheetName val="CFForecast_detail1"/>
      <sheetName val="Cash_Flows_&amp;_IRR1"/>
      <sheetName val="train_cash1"/>
      <sheetName val="accom_cash1"/>
      <sheetName val="Common_1"/>
      <sheetName val="Meas_-Hotel_Part1"/>
      <sheetName val="WORK_TABLE1"/>
      <sheetName val="220_11__BS_1"/>
      <sheetName val="Intro_1"/>
      <sheetName val="beam-reinft-machine_rm1"/>
      <sheetName val="Model_(Not_Merged)1"/>
      <sheetName val="Form_61"/>
      <sheetName val="SGS_ACQ1"/>
      <sheetName val="Price_Schedule2"/>
      <sheetName val="Cost_Any_2"/>
      <sheetName val="S_&amp;_A2"/>
      <sheetName val="PointNo_5"/>
      <sheetName val="A_O_R_"/>
      <sheetName val="PRECAST_lightconc-II"/>
      <sheetName val="Tender_Summary1"/>
      <sheetName val="Operating_Statistics1"/>
      <sheetName val="Material_Rate"/>
      <sheetName val="Retaing_wall"/>
      <sheetName val="3__Elemental_Summary"/>
      <sheetName val="RAJU_ASSO"/>
      <sheetName val="Vind_-_BtB1"/>
      <sheetName val="Branch_Power"/>
      <sheetName val="P_Well(_RCC)"/>
      <sheetName val="Detail_In_Door_Stad"/>
      <sheetName val="P-Ins_&amp;_Bonds"/>
      <sheetName val="Occ,_Other_Rev,_Exp,_Dispo"/>
      <sheetName val="소상_&quot;1&quot;"/>
      <sheetName val="Discount_&amp;_Margin"/>
      <sheetName val="PO_Summary"/>
      <sheetName val="BOQ_Summary"/>
      <sheetName val="Sec_1_Loose_Furniture_18%_GST"/>
      <sheetName val="Sec_1_Loose_Furniture_12%_GST"/>
      <sheetName val="Sec_1_Loose_Furniture_5%_GST"/>
      <sheetName val="Sec_2_Cafeteria_Tables"/>
      <sheetName val="Sec_3_Cafeteria_Chairs"/>
      <sheetName val="Sec_4_Work_Floors_-_NT_"/>
      <sheetName val="Sec_5_LGF_Chairs-NT"/>
      <sheetName val="Sec_6_Additional_18%_GST_"/>
      <sheetName val="Sec_6_Additional_12%_GST_"/>
      <sheetName val="Sec_11-NT_set_3"/>
      <sheetName val="DC_Summary"/>
      <sheetName val="M_Sheet"/>
      <sheetName val="RA4_Checklist"/>
      <sheetName val="Labor_abs-NMR"/>
      <sheetName val="2_대외공문"/>
      <sheetName val="NEW-IDs_Fun_&amp;_Group"/>
      <sheetName val="PC_Master_List"/>
      <sheetName val="Project_Details__"/>
      <sheetName val="M_B-QtyRecn4"/>
      <sheetName val="BOQ_(2)3"/>
      <sheetName val="Desgn(zone_I)7"/>
      <sheetName val="beam-reinft-IIInd_floor2"/>
      <sheetName val="For_Bill-04_PS2"/>
      <sheetName val="ORDER_BOOKING2"/>
      <sheetName val="CABLE_DATA2"/>
      <sheetName val="Bed_Class7"/>
      <sheetName val="PH_data2"/>
      <sheetName val="Details_(3)2"/>
      <sheetName val="Sqn__Main__Abs2"/>
      <sheetName val="Mat_Cost4"/>
      <sheetName val="ACAD_Finishes3"/>
      <sheetName val="Site_Details3"/>
      <sheetName val="Site_Area_Statement3"/>
      <sheetName val="M-Book_for_Conc2"/>
      <sheetName val="M-Book_for_FW2"/>
      <sheetName val="Staff_Acco_2"/>
      <sheetName val="Section_Catalogue2"/>
      <sheetName val="Approved_MTD_Proj_#'s2"/>
      <sheetName val="Staircase_2"/>
      <sheetName val="PACK_(B)2"/>
      <sheetName val="GR_slab-reinft2"/>
      <sheetName val="INPUT_SHEET2"/>
      <sheetName val="Estimate_2"/>
      <sheetName val="Material_2"/>
      <sheetName val="NLD_-_Assum2"/>
      <sheetName val="schedule_nos2"/>
      <sheetName val="BOQ_civil2"/>
      <sheetName val="Column_Steel-R22"/>
      <sheetName val="std_wt_2"/>
      <sheetName val="train_cash2"/>
      <sheetName val="accom_cash2"/>
      <sheetName val="bill_22"/>
      <sheetName val="Common_2"/>
      <sheetName val="beam-reinft-machine_rm2"/>
      <sheetName val="QS_Name2"/>
      <sheetName val="CANDY_BOQ2"/>
      <sheetName val="Meas_-Hotel_Part2"/>
      <sheetName val="WORK_TABLE2"/>
      <sheetName val="220_11__BS_2"/>
      <sheetName val="Intro_2"/>
      <sheetName val="intr_stool_brkup1"/>
      <sheetName val="d-safe_specs2"/>
      <sheetName val="d-safe_DELUXE2"/>
      <sheetName val="Diawise_steel_abstract2"/>
      <sheetName val="Rising_Main2"/>
      <sheetName val="CFForecast_detail2"/>
      <sheetName val="Cash_Flows_&amp;_IRR2"/>
      <sheetName val="Model_(Not_Merged)2"/>
      <sheetName val="Tender_Summary2"/>
      <sheetName val="Operating_Statistics2"/>
      <sheetName val="Material_Rate1"/>
      <sheetName val="Retaing_wall1"/>
      <sheetName val="except_wiring1"/>
      <sheetName val="CPIPE_11"/>
      <sheetName val="3__Elemental_Summary1"/>
      <sheetName val="Vind_-_BtB2"/>
      <sheetName val="SGS_ACQ2"/>
      <sheetName val="Form_62"/>
      <sheetName val="Price_Schedule3"/>
      <sheetName val="Cost_Any_3"/>
      <sheetName val="S_&amp;_A3"/>
      <sheetName val="PointNo_51"/>
      <sheetName val="소상_&quot;1&quot;1"/>
      <sheetName val="Discount_&amp;_Margin1"/>
      <sheetName val="A_O_R_1"/>
      <sheetName val="PRECAST_lightconc-II1"/>
      <sheetName val="P-Ins_&amp;_Bonds1"/>
      <sheetName val="Branch_Power1"/>
      <sheetName val="P_Well(_RCC)1"/>
      <sheetName val="Detail_In_Door_Stad1"/>
      <sheetName val="BOQ_Distribution1"/>
      <sheetName val="RAJU_ASSO1"/>
      <sheetName val="Occ,_Other_Rev,_Exp,_Dispo1"/>
      <sheetName val="PO_Summary1"/>
      <sheetName val="BOQ_Summary1"/>
      <sheetName val="Sec_1_Loose_Furniture_18%_GST1"/>
      <sheetName val="Sec_1_Loose_Furniture_12%_GST1"/>
      <sheetName val="Sec_1_Loose_Furniture_5%_GST1"/>
      <sheetName val="Sec_2_Cafeteria_Tables1"/>
      <sheetName val="Sec_3_Cafeteria_Chairs1"/>
      <sheetName val="Sec_4_Work_Floors_-_NT_1"/>
      <sheetName val="Sec_5_LGF_Chairs-NT1"/>
      <sheetName val="Sec_6_Additional_18%_GST_1"/>
      <sheetName val="Sec_6_Additional_12%_GST_1"/>
      <sheetName val="Sec_11-NT_set_31"/>
      <sheetName val="DC_Summary1"/>
      <sheetName val="M_Sheet1"/>
      <sheetName val="RA4_Checklist1"/>
      <sheetName val="M_S_1"/>
      <sheetName val="Labor_abs-NMR1"/>
      <sheetName val="2_대외공문1"/>
      <sheetName val="NEW-IDs_Fun_&amp;_Group1"/>
      <sheetName val="PC_Master_List1"/>
      <sheetName val="Project_Details__1"/>
      <sheetName val="Footings"/>
      <sheetName val="9. Package split - Cost "/>
      <sheetName val="M- Rate"/>
      <sheetName val="RA 1"/>
      <sheetName val="Master Info"/>
      <sheetName val="SUMM"/>
      <sheetName val="PART-I_(2)63"/>
      <sheetName val="final_abstract63"/>
      <sheetName val="Basement_Budget62"/>
      <sheetName val="Rate_analysis62"/>
      <sheetName val="Break_up_Sheet62"/>
      <sheetName val="TBAL9697_-group_wise__sdpl62"/>
      <sheetName val="B_&amp;_C_-_M_-_ccp62"/>
      <sheetName val="Fee_Rate_Summary62"/>
      <sheetName val="Materials_Cost62"/>
      <sheetName val="RES_STEEL_TO62"/>
      <sheetName val="10__&amp;_11__Rate_Code_&amp;_BQ62"/>
      <sheetName val="RMZ_Summary62"/>
      <sheetName val="Site_Dev_BOQ62"/>
      <sheetName val="Staff_Forecast_spread62"/>
      <sheetName val="Fin_Sum62"/>
      <sheetName val="Fill_this_out_first___62"/>
      <sheetName val="Field_Values62"/>
      <sheetName val="Break_Dw62"/>
      <sheetName val="Structure_Bills_Qty62"/>
      <sheetName val="Builtup_Area62"/>
      <sheetName val="MASTER_RATE_ANALYSIS62"/>
      <sheetName val="Cop_-VGN62"/>
      <sheetName val="Pipe_Supports62"/>
      <sheetName val="Materials_62"/>
      <sheetName val="BOQ_Direct_selling_cost62"/>
      <sheetName val="Stress_Calculation62"/>
      <sheetName val="IO_List62"/>
      <sheetName val="MN_T_B_62"/>
      <sheetName val="RCC,Ret__Wall38"/>
      <sheetName val="RA_4_Challan_Summary_38"/>
      <sheetName val="Labour_productivity38"/>
      <sheetName val="labour_coeff38"/>
      <sheetName val="banilad"/>
      <sheetName val="Mactan"/>
      <sheetName val="Mandaue"/>
      <sheetName val="August Construction Planning  "/>
      <sheetName val="Internal Planning"/>
      <sheetName val="July'2019 Weekly"/>
      <sheetName val="FITZ MORT 94"/>
      <sheetName val="2000 MOR"/>
      <sheetName val="Tower-B(Abstract)"/>
      <sheetName val="terrace parapet block work"/>
      <sheetName val="Canopy-2 RCC1"/>
      <sheetName val="Canopy-2 BBS"/>
      <sheetName val="Canopy-1 RCC1"/>
      <sheetName val="Canopy-1 BBS"/>
      <sheetName val="Above terrace columns RCC"/>
      <sheetName val="Above terrace columns BBS"/>
      <sheetName val="Parapet wall RCC"/>
      <sheetName val="Parapet wall BBS"/>
      <sheetName val="OHWT RCC"/>
      <sheetName val="OHWT Slab BBS"/>
      <sheetName val="OHWT Beams  BBS"/>
      <sheetName val="Columns"/>
      <sheetName val="Lifts"/>
      <sheetName val="Staircases"/>
      <sheetName val="Slab &amp; Beam @ 0.00 Lvl"/>
      <sheetName val="Slab &amp; Beam"/>
      <sheetName val="Lintels &amp; Window"/>
      <sheetName val="Column Steel (UBF)"/>
      <sheetName val="Column Steel (SF)"/>
      <sheetName val="Column Steel (1F)"/>
      <sheetName val="Column Steel (2F)"/>
      <sheetName val="Column Steel (3F)"/>
      <sheetName val="Column Steel (4F-6F)"/>
      <sheetName val="Column Steel (7F-9F)"/>
      <sheetName val="Column Steel (10F-12F)"/>
      <sheetName val="Column Steel (13F-15F)"/>
      <sheetName val="Column Steel (16F-17F)"/>
      <sheetName val="Column Steel (18F)"/>
      <sheetName val="Lift Steel (UBF)"/>
      <sheetName val="Lift Steel (SF)"/>
      <sheetName val="Lift Steel (1F-6F)"/>
      <sheetName val="Lift Steel (7F-12F)"/>
      <sheetName val="Lift Steel (13F-18F)"/>
      <sheetName val=" Staircase Steel (UBF)"/>
      <sheetName val=" Staircase Steel (SF)"/>
      <sheetName val=" Staircase Steel (1F-7F)"/>
      <sheetName val=" Staircase Steel (8F-18F)"/>
      <sheetName val="Beams Steel (SF)"/>
      <sheetName val="Slab Steel (SF)"/>
      <sheetName val="Beams Steel (1F)"/>
      <sheetName val="Slab Steel (1F)"/>
      <sheetName val="Beams Steel (2F&amp;3F)"/>
      <sheetName val="Slab Steel (2F&amp;3F)"/>
      <sheetName val="Beams Steel (4F)"/>
      <sheetName val="Slab Steel (4F)"/>
      <sheetName val="Beams Steel (5F-7F)"/>
      <sheetName val="Slab Steel (5F-7F)"/>
      <sheetName val="Beams Steel (8F-15F&amp;18F)"/>
      <sheetName val="Slab Steel (8F-15F&amp;18F)"/>
      <sheetName val="Beams Steel (16F&amp;17F)"/>
      <sheetName val="Slab Steel (16F&amp;17F)"/>
      <sheetName val="Beams Steel (TF)"/>
      <sheetName val="Slab Steel (TF)"/>
      <sheetName val="100mm Block Work"/>
      <sheetName val="150mm BLOCKS"/>
      <sheetName val="200mm BLOCKS"/>
      <sheetName val="Internal Walls Plastering"/>
      <sheetName val="Internal Ceiling Plastering"/>
      <sheetName val="External plaster"/>
      <sheetName val="Tower- A (Abstract)"/>
      <sheetName val="Canopy-2 RCC"/>
      <sheetName val="Canopy -1 RCC"/>
      <sheetName val="Canaopy-2 steel"/>
      <sheetName val="Canopy-1 steel"/>
      <sheetName val="Columns above terrace"/>
      <sheetName val="OHT bottom &amp; walls "/>
      <sheetName val="Slab &amp; Beam at 0.00lvl"/>
      <sheetName val="Slab &amp; Beam at +3.25lvl"/>
      <sheetName val="Parapet slab&amp;beams"/>
      <sheetName val="Column Steel(SF to TF)"/>
      <sheetName val="Above terrace column steel"/>
      <sheetName val="Lift Wall - Stilt Floor"/>
      <sheetName val="Lift Wall 1F-6F"/>
      <sheetName val="Lift Wall 7F-12F"/>
      <sheetName val="Lift Wall 13F-18F"/>
      <sheetName val="Lift wall terrace floor"/>
      <sheetName val="Staircase - UBF"/>
      <sheetName val="Staircase - SF"/>
      <sheetName val="Staircase - 1F-7F"/>
      <sheetName val="Staircase - 8F-18F"/>
      <sheetName val="Beam Steel - SF"/>
      <sheetName val="Slab Steel - SF"/>
      <sheetName val="Beam Steel- 1F"/>
      <sheetName val="Slab Steel - 1F"/>
      <sheetName val="Beams Steel 2F"/>
      <sheetName val="Slab steel 2F"/>
      <sheetName val="Beams Steel 3F"/>
      <sheetName val="Slab steel 3F"/>
      <sheetName val="Beams Steel - 4F"/>
      <sheetName val="Slab steel 4F"/>
      <sheetName val="Beam steel 5F-7F"/>
      <sheetName val="Slab steel 5F-7F"/>
      <sheetName val="Beam steel 8F-15F &amp; 18F"/>
      <sheetName val="Slab steel 8F-15F&amp; 18F"/>
      <sheetName val="Beam steel 16F - 17F"/>
      <sheetName val="Slab steel 16F - 17F"/>
      <sheetName val="Beam steel TF"/>
      <sheetName val="Slab steel TF"/>
      <sheetName val="OHT Slab steel "/>
      <sheetName val="OHT beam steel "/>
      <sheetName val="A- terrace coping BBS"/>
      <sheetName val="Copping beam BBS A terrace"/>
      <sheetName val="150 mm BLOCKS"/>
      <sheetName val="200 mm BLOCKS"/>
      <sheetName val="LIST OF MAKES"/>
      <sheetName val="April Analysts"/>
      <sheetName val="Basic Rate"/>
      <sheetName val="Consumer Fraud"/>
      <sheetName val="Avoidance "/>
      <sheetName val="Cons Recov Rates"/>
      <sheetName val="Consumer Supps"/>
      <sheetName val="Variance"/>
      <sheetName val="Consumer Outbound"/>
      <sheetName val="FY Loss Frcst"/>
      <sheetName val="Exempt"/>
      <sheetName val="m"/>
      <sheetName val="maya"/>
      <sheetName val="Bitumen trunk"/>
      <sheetName val="Feeder"/>
      <sheetName val="R99 etc"/>
      <sheetName val="Trunk unpaved"/>
      <sheetName val="Works"/>
      <sheetName val="Main Sheet"/>
      <sheetName val="Lookup data"/>
      <sheetName val="13. Steel - Ratio"/>
      <sheetName val="MA"/>
      <sheetName val="MaterfÙ_x0002_G"/>
      <sheetName val="당초"/>
      <sheetName val="Cash2"/>
      <sheetName val="Z"/>
      <sheetName val="Estt"/>
      <sheetName val="hdpe_basic"/>
      <sheetName val="report"/>
      <sheetName val="Road Detail Est."/>
      <sheetName val="Pr.-hist."/>
      <sheetName val="MAchinery(R1)"/>
      <sheetName val="EW SR"/>
      <sheetName val="Qty SR"/>
      <sheetName val="Evaluate"/>
      <sheetName val="Core Data"/>
      <sheetName val="CFS3"/>
      <sheetName val="FLCB List"/>
      <sheetName val="Wag&amp;Sal"/>
      <sheetName val="0000000000000"/>
      <sheetName val="CASH-FLOW"/>
      <sheetName val="Newabstract"/>
      <sheetName val="CivilOld"/>
      <sheetName val="Mth-Vana"/>
      <sheetName val="Demand"/>
      <sheetName val="Occ"/>
      <sheetName val="LOCAL RATES"/>
      <sheetName val="Cal"/>
      <sheetName val="well"/>
      <sheetName val="Abs"/>
      <sheetName val="EqpPerfJun08"/>
      <sheetName val="footing for SP"/>
      <sheetName val="Lead_statement"/>
      <sheetName val="Data_F8_BTR"/>
      <sheetName val="Labour_&amp;_Plant"/>
      <sheetName val="Bld_SSR"/>
      <sheetName val="SSR_-Sani_"/>
      <sheetName val="Elec_SSR"/>
      <sheetName val="PH-_SSR"/>
      <sheetName val="R_&amp;_B_SSR"/>
      <sheetName val="RCC_Pipes"/>
      <sheetName val="DI-Pipes_&amp;_Spe"/>
      <sheetName val="CI_Spe"/>
      <sheetName val="Bolts&amp;_rings"/>
      <sheetName val="Dist_Lines-150-old"/>
      <sheetName val="GA-GVMC_-NW(Com)_"/>
      <sheetName val="GA-GVMC_-NW_"/>
      <sheetName val="Dist_Lines-100"/>
      <sheetName val="Dist-Lines_-500"/>
      <sheetName val="Dist_Lines-150"/>
      <sheetName val="GA-GVMC_-NW__(2)"/>
      <sheetName val="GA-GVMC_-NW__"/>
      <sheetName val="Dist-Lines_B-1_"/>
      <sheetName val="Dist-Lines-Final_checked"/>
      <sheetName val="Pumping_mains-"/>
      <sheetName val="Feeder_main-old"/>
      <sheetName val="Dist-Lines_-B-2"/>
      <sheetName val="Dist-Lines_-B-3"/>
      <sheetName val="Dist-Lines_B-4"/>
      <sheetName val="Dist-Lines_B-5"/>
      <sheetName val="Dist-Lines_-B-6"/>
      <sheetName val="Dist-Lines_-B-7"/>
      <sheetName val="Dist-Lines_-B-8"/>
      <sheetName val="Dist-Lines_-B-9"/>
      <sheetName val="Dist-Lines_-B-10"/>
      <sheetName val="Dist-Lines_-B-11"/>
      <sheetName val="Dist-Lines_-B-12"/>
      <sheetName val="Dist-Lines_-B-13"/>
      <sheetName val="Dist-Lines_-B-14"/>
      <sheetName val="Dist-Lines_-B-15"/>
      <sheetName val="Dist-Lines_-B-16"/>
      <sheetName val="Feeder_mains-_1"/>
      <sheetName val="Feeder_mains-_2"/>
      <sheetName val="Feeder_mains-_(1)"/>
      <sheetName val="Feeder_mains-up_to_800"/>
      <sheetName val="Pumping_Main-800mm"/>
      <sheetName val="ELSR-600_KL-Z-2"/>
      <sheetName val="750_KL_GLSR-Z-3"/>
      <sheetName val="ELSR-750_KL-Z-3"/>
      <sheetName val="ELSR-500_KL-Z-4"/>
      <sheetName val="500_KL_GLSR-Z-4"/>
      <sheetName val="ELSR-1850_KL-Z-8"/>
      <sheetName val="1850_KL_GLSR-Z-8"/>
      <sheetName val="800_KL_GLSR-Z-11"/>
      <sheetName val="900_KL_GLSR-Z-12"/>
      <sheetName val="ELSR-2500_KL-Z-13"/>
      <sheetName val="ELSR-2400_KL-Z-14"/>
      <sheetName val="ELSR-1200_KL-Z-15"/>
      <sheetName val="ELSR-2000_KL-Z-16"/>
      <sheetName val="Pumping_Main-500mm-(2)"/>
      <sheetName val="Pumping_Main-450mm-(3)"/>
      <sheetName val="Pumping_Main-(4)"/>
      <sheetName val="350_KL_GLSR"/>
      <sheetName val="1000_KL_Sump-"/>
      <sheetName val="1000_KL_MBR"/>
      <sheetName val="MBR-1000_KL"/>
      <sheetName val="Pump_room-12x8"/>
      <sheetName val="civ data"/>
      <sheetName val="Sum1"/>
      <sheetName val="98Price"/>
      <sheetName val="Civil Works"/>
      <sheetName val="August TB"/>
      <sheetName val="Consolidated"/>
      <sheetName val="pt-cw"/>
      <sheetName val="AD ST"/>
      <sheetName val="Inc.St.-Link"/>
      <sheetName val="공장별판관비배부"/>
      <sheetName val="UNIT2"/>
      <sheetName val="iD"/>
      <sheetName val="triggers"/>
      <sheetName val="Vol"/>
      <sheetName val="KWM"/>
      <sheetName val="simulations"/>
      <sheetName val="SALE"/>
      <sheetName val="Fx DATA"/>
      <sheetName val="Bridge Data 2005-06"/>
      <sheetName val="Exp_62"/>
      <sheetName val="INDIGINEOUS_ITEMS_62"/>
      <sheetName val="E_&amp;_R62"/>
      <sheetName val="Load_Details(B1)62"/>
      <sheetName val="INDORAMA_Group_June_0262"/>
      <sheetName val="SPT_vs_PHI62"/>
      <sheetName val="Civil_Boq62"/>
      <sheetName val="Debits_as_on_12_04_0862"/>
      <sheetName val="PA-_Consutant_62"/>
      <sheetName val="Sheet3_(2)62"/>
      <sheetName val="_Block_work"/>
      <sheetName val="Flooring_&amp;_Road"/>
      <sheetName val="BOM_"/>
      <sheetName val="SUBMITED_bISS"/>
      <sheetName val="TOTAL_SUMMARY"/>
      <sheetName val="DOOR-WINDOW_SCHEDULE"/>
      <sheetName val="BLOCK_WORK-GRD_FLR"/>
      <sheetName val="Japan_Reco"/>
      <sheetName val="Abs_PMRL"/>
      <sheetName val="Cleaning_&amp;_Grubbing"/>
      <sheetName val="220Kv_(2)"/>
      <sheetName val="Source_Ref_"/>
      <sheetName val="Name_List"/>
      <sheetName val="water_prop_"/>
      <sheetName val="Price_Comparison"/>
      <sheetName val="BLOCK-A_(MEA_SHEET)"/>
      <sheetName val="4_Annex_1_Basic_rate"/>
      <sheetName val="Door_Qty"/>
      <sheetName val="Win_Qty"/>
      <sheetName val="Mar_Roster"/>
      <sheetName val="costing_sheet"/>
      <sheetName val="R_A_"/>
      <sheetName val="India_F&amp;S_Template"/>
      <sheetName val="DETAILED__BOQ"/>
      <sheetName val="BASIS_-DEC_08"/>
      <sheetName val="_"/>
      <sheetName val="Capital_Structure"/>
      <sheetName val="Recap_"/>
      <sheetName val="Schedule_A1"/>
      <sheetName val="Abstract_(Buyback)"/>
      <sheetName val="Civil_RA"/>
      <sheetName val="Plumbing_RA"/>
      <sheetName val="Electrical__RA"/>
      <sheetName val="ELV_RA"/>
      <sheetName val="FFTG_RA"/>
      <sheetName val="HVAC_RA"/>
      <sheetName val="Furniture_RA"/>
      <sheetName val="Kichen_Equi__RA"/>
      <sheetName val="Project_Budget_Worksheet"/>
      <sheetName val="All_Components_Report"/>
      <sheetName val="UNP-NCW_"/>
      <sheetName val="BUD_07-08"/>
      <sheetName val="Final_Basic_rate"/>
      <sheetName val="Elect_"/>
      <sheetName val="old_boq"/>
      <sheetName val="CABLENOS_"/>
      <sheetName val="Works_-_Quote_Sheet"/>
      <sheetName val="Bill_1-BOQ-Civil_Works"/>
      <sheetName val="Labour_Rate_"/>
      <sheetName val="Material_List_"/>
      <sheetName val="Sheet1_(2)"/>
      <sheetName val="site_fab&amp;ernstr"/>
      <sheetName val="2_1_受電設備棟"/>
      <sheetName val="2_2_受・防火水槽"/>
      <sheetName val="2_3_排水処理設備棟"/>
      <sheetName val="2_4_倉庫棟"/>
      <sheetName val="2_5_守衛棟"/>
      <sheetName val="Step_1"/>
      <sheetName val="Partitions"/>
      <sheetName val="inter"/>
      <sheetName val="LABOUR SALARY "/>
      <sheetName val="Brickwork "/>
      <sheetName val="Finishing items"/>
      <sheetName val="Global_Assmptions"/>
      <sheetName val="Data_sheet"/>
      <sheetName val="NRC_Rationalisation"/>
      <sheetName val="foot-slab_reinft"/>
      <sheetName val="PRECAST lightconc_II"/>
      <sheetName val="Roof  PT beams "/>
      <sheetName val="Client Addressess "/>
      <sheetName val="Basic Rates"/>
      <sheetName val="SP Break Up"/>
      <sheetName val="TBEAM"/>
      <sheetName val="MH(on site)"/>
      <sheetName val="ridgewood"/>
      <sheetName val="Sales &amp; Prod"/>
      <sheetName val="Measurment"/>
      <sheetName val="INDEX"/>
      <sheetName val="AREAS"/>
      <sheetName val="11-hsd"/>
      <sheetName val="13-septic"/>
      <sheetName val="7-ug"/>
      <sheetName val="2-utility"/>
      <sheetName val="RA_1"/>
      <sheetName val="boq lt"/>
      <sheetName val="Indices"/>
      <sheetName val="BFS"/>
      <sheetName val="SPEC SHEET"/>
      <sheetName val="REFERANCE DATA"/>
      <sheetName val="DOOR WINDOW"/>
      <sheetName val="TORRENT CEMENT"/>
      <sheetName val="02.10.06"/>
      <sheetName val="ORDER-3"/>
      <sheetName val="DATA INPU KN (1)"/>
      <sheetName val="DATA INPU KN"/>
      <sheetName val="beam-reinft"/>
      <sheetName val="GM &amp; TA"/>
      <sheetName val="Cash Flow Working"/>
      <sheetName val="ABS_Sec C"/>
      <sheetName val="PART-I_(2)64"/>
      <sheetName val="final_abstract64"/>
      <sheetName val="Basement_Budget63"/>
      <sheetName val="Fee_Rate_Summary63"/>
      <sheetName val="Rate_analysis63"/>
      <sheetName val="Materials_Cost63"/>
      <sheetName val="10__&amp;_11__Rate_Code_&amp;_BQ63"/>
      <sheetName val="RES_STEEL_TO63"/>
      <sheetName val="Break_up_Sheet63"/>
      <sheetName val="B_&amp;_C_-_M_-_ccp63"/>
      <sheetName val="RMZ_Summary63"/>
      <sheetName val="Fill_this_out_first___63"/>
      <sheetName val="TBAL9697_-group_wise__sdpl63"/>
      <sheetName val="Fin_Sum63"/>
      <sheetName val="Site_Dev_BOQ63"/>
      <sheetName val="Staff_Forecast_spread63"/>
      <sheetName val="Field_Values63"/>
      <sheetName val="Structure_Bills_Qty63"/>
      <sheetName val="Builtup_Area63"/>
      <sheetName val="MASTER_RATE_ANALYSIS63"/>
      <sheetName val="Cop_-VGN63"/>
      <sheetName val="IO_List63"/>
      <sheetName val="BOQ_Direct_selling_cost63"/>
      <sheetName val="Stress_Calculation63"/>
      <sheetName val="Pipe_Supports63"/>
      <sheetName val="Materials_63"/>
      <sheetName val="MN_T_B_63"/>
      <sheetName val="ORDER_BOOKING3"/>
      <sheetName val="Break_Dw63"/>
      <sheetName val="For_Bill-04_PS3"/>
      <sheetName val="RCC,Ret__Wall39"/>
      <sheetName val="RA_4_Challan_Summary_39"/>
      <sheetName val="Labour_productivity39"/>
      <sheetName val="labour_coeff39"/>
      <sheetName val="BOQ_(2)4"/>
      <sheetName val="beam-reinft-IIInd_floor3"/>
      <sheetName val="Bed_Class8"/>
      <sheetName val="PH_data3"/>
      <sheetName val="Details_(3)3"/>
      <sheetName val="Desgn(zone_I)8"/>
      <sheetName val="M_B-QtyRecn5"/>
      <sheetName val="Sqn__Main__Abs3"/>
      <sheetName val="Staff_Acco_3"/>
      <sheetName val="Section_Catalogue3"/>
      <sheetName val="Approved_MTD_Proj_#'s3"/>
      <sheetName val="ACAD_Finishes4"/>
      <sheetName val="Site_Details4"/>
      <sheetName val="Site_Area_Statement4"/>
      <sheetName val="CABLE_DATA3"/>
      <sheetName val="Mat_Cost5"/>
      <sheetName val="GR_slab-reinft3"/>
      <sheetName val="BOQ_civil3"/>
      <sheetName val="NLD_-_Assum3"/>
      <sheetName val="schedule_nos3"/>
      <sheetName val="std_wt_3"/>
      <sheetName val="Column_Steel-R23"/>
      <sheetName val="Staircase_3"/>
      <sheetName val="INPUT_SHEET3"/>
      <sheetName val="M-Book_for_Conc3"/>
      <sheetName val="M-Book_for_FW3"/>
      <sheetName val="Cash_Flows_&amp;_IRR3"/>
      <sheetName val="d-safe_specs3"/>
      <sheetName val="d-safe_DELUXE3"/>
      <sheetName val="Diawise_steel_abstract3"/>
      <sheetName val="Rising_Main3"/>
      <sheetName val="PACK_(B)3"/>
      <sheetName val="Material_3"/>
      <sheetName val="bill_23"/>
      <sheetName val="Estimate_3"/>
      <sheetName val="QS_Name3"/>
      <sheetName val="CANDY_BOQ3"/>
      <sheetName val="CFForecast_detail3"/>
      <sheetName val="Model_(Not_Merged)3"/>
      <sheetName val="Tender_Summary3"/>
      <sheetName val="train_cash3"/>
      <sheetName val="accom_cash3"/>
      <sheetName val="Common_3"/>
      <sheetName val="Meas_-Hotel_Part3"/>
      <sheetName val="3__Elemental_Summary2"/>
      <sheetName val="Material_Rate2"/>
      <sheetName val="Retaing_wall2"/>
      <sheetName val="WORK_TABLE3"/>
      <sheetName val="220_11__BS_3"/>
      <sheetName val="Intro_3"/>
      <sheetName val="Operating_Statistics3"/>
      <sheetName val="except_wiring2"/>
      <sheetName val="CPIPE_12"/>
      <sheetName val="beam-reinft-machine_rm3"/>
      <sheetName val="intr_stool_brkup2"/>
      <sheetName val="Occ,_Other_Rev,_Exp,_Dispo2"/>
      <sheetName val="Vind_-_BtB3"/>
      <sheetName val="SGS_ACQ3"/>
      <sheetName val="Form_63"/>
      <sheetName val="Price_Schedule4"/>
      <sheetName val="Cost_Any_4"/>
      <sheetName val="S_&amp;_A4"/>
      <sheetName val="PointNo_52"/>
      <sheetName val="BOQ_Distribution2"/>
      <sheetName val="A_O_R_2"/>
      <sheetName val="PRECAST_lightconc-II2"/>
      <sheetName val="Detail_In_Door_Stad2"/>
      <sheetName val="P_Well(_RCC)2"/>
      <sheetName val="PO_Summary2"/>
      <sheetName val="BOQ_Summary2"/>
      <sheetName val="Sec_1_Loose_Furniture_18%_GST2"/>
      <sheetName val="Sec_1_Loose_Furniture_12%_GST2"/>
      <sheetName val="Sec_1_Loose_Furniture_5%_GST2"/>
      <sheetName val="Sec_2_Cafeteria_Tables2"/>
      <sheetName val="Sec_3_Cafeteria_Chairs2"/>
      <sheetName val="Sec_4_Work_Floors_-_NT_2"/>
      <sheetName val="Sec_5_LGF_Chairs-NT2"/>
      <sheetName val="Sec_6_Additional_18%_GST_2"/>
      <sheetName val="Sec_6_Additional_12%_GST_2"/>
      <sheetName val="Sec_11-NT_set_32"/>
      <sheetName val="DC_Summary2"/>
      <sheetName val="M_Sheet2"/>
      <sheetName val="RA4_Checklist2"/>
      <sheetName val="PC_Master_List2"/>
      <sheetName val="Project_Details__2"/>
      <sheetName val="Labor_abs-NMR2"/>
      <sheetName val="소상_&quot;1&quot;2"/>
      <sheetName val="M_S_2"/>
      <sheetName val="Discount_&amp;_Margin2"/>
      <sheetName val="Branch_Power2"/>
      <sheetName val="RAJU_ASSO2"/>
      <sheetName val="P-Ins_&amp;_Bonds2"/>
      <sheetName val="2_대외공문2"/>
      <sheetName val="NEW-IDs_Fun_&amp;_Group2"/>
      <sheetName val="LABOUR_SALARY_"/>
      <sheetName val="Brickwork_"/>
      <sheetName val="Finishing_items"/>
      <sheetName val="M-_Rate"/>
      <sheetName val="August_Construction_Planning__"/>
      <sheetName val="Internal_Planning"/>
      <sheetName val="July'2019_Weekly"/>
      <sheetName val="9__Package_split_-_Cost_"/>
      <sheetName val="Estimate_10_00_Lakhs_"/>
      <sheetName val="abs_road"/>
      <sheetName val="Road_data"/>
      <sheetName val="terrace_parapet_block_work"/>
      <sheetName val="Canopy-2_RCC1"/>
      <sheetName val="Canopy-2_BBS"/>
      <sheetName val="Canopy-1_RCC1"/>
      <sheetName val="Canopy-1_BBS"/>
      <sheetName val="Above_terrace_columns_RCC"/>
      <sheetName val="Above_terrace_columns_BBS"/>
      <sheetName val="Parapet_wall_RCC"/>
      <sheetName val="Parapet_wall_BBS"/>
      <sheetName val="OHWT_RCC"/>
      <sheetName val="OHWT_Slab_BBS"/>
      <sheetName val="OHWT_Beams__BBS"/>
      <sheetName val="Slab_&amp;_Beam_@_0_00_Lvl"/>
      <sheetName val="Slab_&amp;_Beam"/>
      <sheetName val="Lintels_&amp;_Window"/>
      <sheetName val="Column_Steel_(UBF)"/>
      <sheetName val="Column_Steel_(SF)"/>
      <sheetName val="Column_Steel_(1F)"/>
      <sheetName val="Column_Steel_(2F)"/>
      <sheetName val="Column_Steel_(3F)"/>
      <sheetName val="Column_Steel_(4F-6F)"/>
      <sheetName val="Column_Steel_(7F-9F)"/>
      <sheetName val="Column_Steel_(10F-12F)"/>
      <sheetName val="Column_Steel_(13F-15F)"/>
      <sheetName val="Column_Steel_(16F-17F)"/>
      <sheetName val="Column_Steel_(18F)"/>
      <sheetName val="Lift_Steel_(UBF)"/>
      <sheetName val="Lift_Steel_(SF)"/>
      <sheetName val="Lift_Steel_(1F-6F)"/>
      <sheetName val="Lift_Steel_(7F-12F)"/>
      <sheetName val="Lift_Steel_(13F-18F)"/>
      <sheetName val="_Staircase_Steel_(UBF)"/>
      <sheetName val="_Staircase_Steel_(SF)"/>
      <sheetName val="_Staircase_Steel_(1F-7F)"/>
      <sheetName val="_Staircase_Steel_(8F-18F)"/>
      <sheetName val="Beams_Steel_(SF)"/>
      <sheetName val="Slab_Steel_(SF)"/>
      <sheetName val="Beams_Steel_(1F)"/>
      <sheetName val="Slab_Steel_(1F)"/>
      <sheetName val="Beams_Steel_(2F&amp;3F)"/>
      <sheetName val="Slab_Steel_(2F&amp;3F)"/>
      <sheetName val="Beams_Steel_(4F)"/>
      <sheetName val="Slab_Steel_(4F)"/>
      <sheetName val="Beams_Steel_(5F-7F)"/>
      <sheetName val="Slab_Steel_(5F-7F)"/>
      <sheetName val="Beams_Steel_(8F-15F&amp;18F)"/>
      <sheetName val="Slab_Steel_(8F-15F&amp;18F)"/>
      <sheetName val="Beams_Steel_(16F&amp;17F)"/>
      <sheetName val="Slab_Steel_(16F&amp;17F)"/>
      <sheetName val="Beams_Steel_(TF)"/>
      <sheetName val="Slab_Steel_(TF)"/>
      <sheetName val="100mm_Block_Work"/>
      <sheetName val="150mm_BLOCKS"/>
      <sheetName val="200mm_BLOCKS"/>
      <sheetName val="Internal_Walls_Plastering"/>
      <sheetName val="Internal_Ceiling_Plastering"/>
      <sheetName val="External_plaster"/>
      <sheetName val="Tower-_A_(Abstract)"/>
      <sheetName val="Canopy-2_RCC"/>
      <sheetName val="Canopy_-1_RCC"/>
      <sheetName val="Canaopy-2_steel"/>
      <sheetName val="Canopy-1_steel"/>
      <sheetName val="Columns_above_terrace"/>
      <sheetName val="OHT_bottom_&amp;_walls_"/>
      <sheetName val="Slab_&amp;_Beam_at_0_00lvl"/>
      <sheetName val="Slab_&amp;_Beam_at_+3_25lvl"/>
      <sheetName val="Parapet_slab&amp;beams"/>
      <sheetName val="Column_Steel(SF_to_TF)"/>
      <sheetName val="Above_terrace_column_steel"/>
      <sheetName val="Lift_Wall_-_Stilt_Floor"/>
      <sheetName val="Lift_Wall_1F-6F"/>
      <sheetName val="Lift_Wall_7F-12F"/>
      <sheetName val="Lift_Wall_13F-18F"/>
      <sheetName val="Lift_wall_terrace_floor"/>
      <sheetName val="Staircase_-_UBF"/>
      <sheetName val="Staircase_-_SF"/>
      <sheetName val="Staircase_-_1F-7F"/>
      <sheetName val="Staircase_-_8F-18F"/>
      <sheetName val="Beam_Steel_-_SF"/>
      <sheetName val="Slab_Steel_-_SF"/>
      <sheetName val="Beam_Steel-_1F"/>
      <sheetName val="Slab_Steel_-_1F"/>
      <sheetName val="Beams_Steel_2F"/>
      <sheetName val="Slab_steel_2F"/>
      <sheetName val="Beams_Steel_3F"/>
      <sheetName val="Slab_steel_3F"/>
      <sheetName val="Beams_Steel_-_4F"/>
      <sheetName val="Slab_steel_4F"/>
      <sheetName val="Beam_steel_5F-7F"/>
      <sheetName val="Slab_steel_5F-7F"/>
      <sheetName val="Beam_steel_8F-15F_&amp;_18F"/>
      <sheetName val="Slab_steel_8F-15F&amp;_18F"/>
      <sheetName val="Beam_steel_16F_-_17F"/>
      <sheetName val="Slab_steel_16F_-_17F"/>
      <sheetName val="Beam_steel_TF"/>
      <sheetName val="Slab_steel_TF"/>
      <sheetName val="OHT_Slab_steel_"/>
      <sheetName val="OHT_beam_steel_"/>
      <sheetName val="A-_terrace_coping_BBS"/>
      <sheetName val="Copping_beam_BBS_A_terrace"/>
      <sheetName val="150_mm_BLOCKS"/>
      <sheetName val="200_mm_BLOCKS"/>
      <sheetName val="B_F_Meters"/>
      <sheetName val="Pump_sets"/>
      <sheetName val="Pump_sets_(2)"/>
      <sheetName val="Gen_sets"/>
      <sheetName val="PR_Valves"/>
      <sheetName val="W_man_Qrt-"/>
      <sheetName val="O_&amp;M"/>
      <sheetName val="Generator_Room-1"/>
      <sheetName val="200_KL_GLSR-6_(2)"/>
      <sheetName val="500_KL_Sump-(1)"/>
      <sheetName val="250_KL_Sump-(3)"/>
      <sheetName val="Office_-_MBR"/>
      <sheetName val="HSC_(2)"/>
      <sheetName val="Gen_sets_(2)"/>
      <sheetName val="DI_pipes"/>
      <sheetName val="Wt_of_DI_Spe_"/>
      <sheetName val="HDPE_pipes"/>
      <sheetName val="RCC_SS"/>
      <sheetName val="CI_Spe_"/>
      <sheetName val="data-ELSR_"/>
      <sheetName val="data-Water_Supply"/>
      <sheetName val="Sump_&amp;_ST"/>
      <sheetName val="Bld_Stnd,Data"/>
      <sheetName val="Bld_up_to_3F"/>
      <sheetName val="CC_road"/>
      <sheetName val="Dist_Lines"/>
      <sheetName val="Feeder_mains-2"/>
      <sheetName val="Gravity_Main-900mm"/>
      <sheetName val="550_KL_Sump-1"/>
      <sheetName val="550_KL_Sump-2"/>
      <sheetName val="ELSR-1200_KL"/>
      <sheetName val="650_KL_GLSR_(2)"/>
      <sheetName val="850_KL_GLSR_"/>
      <sheetName val="500_KL_sump"/>
      <sheetName val="200_KL-_ELSR_Yelluru"/>
      <sheetName val="Dist-Zone-below_50000"/>
      <sheetName val="Data_-O&amp;M"/>
      <sheetName val="Pumping_main-350mm"/>
      <sheetName val="Inf_Well"/>
      <sheetName val="Approah_road_to_MBR"/>
      <sheetName val="Approach_Roads-Source"/>
      <sheetName val="400mm-P_Main"/>
      <sheetName val="13_Mld-WTP"/>
      <sheetName val="data-Intake_well"/>
      <sheetName val="Model_GLSR-"/>
      <sheetName val="Feeder_main-1_(2)"/>
      <sheetName val="Dist_&amp;_Feeder_mains__(2)"/>
      <sheetName val="BFlow_meters"/>
      <sheetName val="O_Nd_M"/>
      <sheetName val="Pump_room-6_59x6_00m"/>
      <sheetName val="GA-GVMC_-Raiwada-BWSC"/>
      <sheetName val="BWSC-Pumping_Main-1200mm"/>
      <sheetName val="GA-GVMC_-Raiwada"/>
      <sheetName val="MS-Pumping_Main-1300mm"/>
      <sheetName val="Thurst-F_mains"/>
      <sheetName val="Thrust-P_mains"/>
      <sheetName val="CI_weights"/>
      <sheetName val="Proforma_-II_"/>
      <sheetName val="LIST_OF_MAKES"/>
      <sheetName val="April_Analysts"/>
      <sheetName val="Basic_Rate"/>
      <sheetName val="Consumer_Fraud"/>
      <sheetName val="Avoidance_"/>
      <sheetName val="Cons_Recov_Rates"/>
      <sheetName val="Consumer_Supps"/>
      <sheetName val="Consumer_Outbound"/>
      <sheetName val="FY_Loss_Frcst"/>
      <sheetName val="FITZ_MORT_94"/>
      <sheetName val="footing_for_SP"/>
      <sheetName val="Master_Info"/>
      <sheetName val="AD_ST"/>
      <sheetName val="Riser-1"/>
      <sheetName val="Schedule v1"/>
      <sheetName val="Keyword"/>
      <sheetName val="Auswahl"/>
      <sheetName val="factor_sheet35"/>
      <sheetName val="factor_sheet36"/>
      <sheetName val="Exp_63"/>
      <sheetName val="INDIGINEOUS_ITEMS_63"/>
      <sheetName val="E_&amp;_R63"/>
      <sheetName val="Load_Details(B1)63"/>
      <sheetName val="SPT_vs_PHI63"/>
      <sheetName val="Civil_Boq63"/>
      <sheetName val="PA-_Consutant_63"/>
      <sheetName val="Debits_as_on_12_04_0863"/>
      <sheetName val="Sheet3_(2)63"/>
      <sheetName val="INDORAMA_Group_June_0263"/>
      <sheetName val="cubes_M25 Nov-03"/>
      <sheetName val="Pile cap"/>
      <sheetName val="Boq (Main Building)"/>
      <sheetName val="Annexue B"/>
      <sheetName val="_Block_work1"/>
      <sheetName val="Flooring_&amp;_Road1"/>
      <sheetName val="BOM_1"/>
      <sheetName val="SUBMITED_bISS1"/>
      <sheetName val="TOTAL_SUMMARY1"/>
      <sheetName val="DOOR-WINDOW_SCHEDULE1"/>
      <sheetName val="BLOCK_WORK-GRD_FLR1"/>
      <sheetName val="Cleaning_&amp;_Grubbing1"/>
      <sheetName val="Abs_PMRL1"/>
      <sheetName val="220Kv_(2)1"/>
      <sheetName val="Japan_Reco1"/>
      <sheetName val="Source_Ref_1"/>
      <sheetName val="Name_List1"/>
      <sheetName val="water_prop_1"/>
      <sheetName val="Price_Comparison1"/>
      <sheetName val="BLOCK-A_(MEA_SHEET)1"/>
      <sheetName val="R_A_1"/>
      <sheetName val="costing_sheet1"/>
      <sheetName val="Labour_&amp;_Plant1"/>
      <sheetName val="Mar_Roster1"/>
      <sheetName val="4_Annex_1_Basic_rate1"/>
      <sheetName val="Door_Qty1"/>
      <sheetName val="Win_Qty1"/>
      <sheetName val="Capital_Structure1"/>
      <sheetName val="India_F&amp;S_Template1"/>
      <sheetName val="DETAILED__BOQ1"/>
      <sheetName val="BASIS_-DEC_081"/>
      <sheetName val="_1"/>
      <sheetName val="Recap_1"/>
      <sheetName val="Schedule_A11"/>
      <sheetName val="Abstract_(Buyback)1"/>
      <sheetName val="Civil_RA1"/>
      <sheetName val="Plumbing_RA1"/>
      <sheetName val="Electrical__RA1"/>
      <sheetName val="ELV_RA1"/>
      <sheetName val="FFTG_RA1"/>
      <sheetName val="HVAC_RA1"/>
      <sheetName val="Furniture_RA1"/>
      <sheetName val="Kichen_Equi__RA1"/>
      <sheetName val="Project_Budget_Worksheet1"/>
      <sheetName val="All_Components_Report1"/>
      <sheetName val="UNP-NCW_1"/>
      <sheetName val="BUD_07-081"/>
      <sheetName val="Final_Basic_rate1"/>
      <sheetName val="Elect_1"/>
      <sheetName val="old_boq1"/>
      <sheetName val="CABLENOS_1"/>
      <sheetName val="Works_-_Quote_Sheet1"/>
      <sheetName val="Lead_statement1"/>
      <sheetName val="Data_F8_BTR1"/>
      <sheetName val="Bill_1-BOQ-Civil_Works1"/>
      <sheetName val="Labour_Rate_1"/>
      <sheetName val="Material_List_1"/>
      <sheetName val="Sheet1_(2)1"/>
      <sheetName val="site_fab&amp;ernstr1"/>
      <sheetName val="2_1_受電設備棟1"/>
      <sheetName val="2_2_受・防火水槽1"/>
      <sheetName val="2_3_排水処理設備棟1"/>
      <sheetName val="2_4_倉庫棟1"/>
      <sheetName val="2_5_守衛棟1"/>
      <sheetName val="Step_11"/>
      <sheetName val="Core_Data"/>
      <sheetName val="2000_MOR"/>
      <sheetName val="Inc_St_-Link"/>
      <sheetName val="Main_Sheet"/>
      <sheetName val="Lookup_data"/>
      <sheetName val="13__Steel_-_Ratio"/>
      <sheetName val="CIV_INV&amp;EXP"/>
      <sheetName val="Civil_Works"/>
      <sheetName val="August_TB"/>
      <sheetName val="FLCB_List"/>
      <sheetName val="집계표(OPTION)"/>
      <sheetName val="Global_Assmptions1"/>
      <sheetName val="Data_sheet1"/>
      <sheetName val="NRC_Rationalisation1"/>
      <sheetName val="foot-slab_reinft1"/>
      <sheetName val="RA_11"/>
      <sheetName val="boq_lt"/>
      <sheetName val="MH(on_site)"/>
      <sheetName val="PMV Data"/>
      <sheetName val="HR &amp; Admin"/>
      <sheetName val="Exim FCL"/>
      <sheetName val="XREF"/>
      <sheetName val="7 Other Costs"/>
      <sheetName val="Annex"/>
      <sheetName val="2.Pardi"/>
      <sheetName val="Meas.-Tender"/>
      <sheetName val="Non-Tender"/>
      <sheetName val="Extra item"/>
      <sheetName val="1.MPB_Conveyer Pit"/>
      <sheetName val="2.Boiler Pit"/>
      <sheetName val="3. SWRC"/>
      <sheetName val="BM"/>
      <sheetName val="Cul_detail"/>
      <sheetName val="Diaphragm "/>
      <sheetName val="ETC Plant Cost"/>
      <sheetName val="Exist"/>
      <sheetName val="LEFT"/>
      <sheetName val="RIGHT"/>
      <sheetName val="Steel-Circular"/>
      <sheetName val="PROCTOR"/>
      <sheetName val="BLKs_C"/>
      <sheetName val="MN__x0005__x0000__x0000__x0000_"/>
      <sheetName val="MN_堌_x001f_塔_x001f_ꮸ"/>
      <sheetName val="MN_囼&lt;坄&lt;ꮸ"/>
      <sheetName val="MN_寐Ïꮸ『_x0005_"/>
      <sheetName val="MN_召į吴įꮸ"/>
      <sheetName val="MN_婌s媔sꮸ"/>
      <sheetName val="MN_吠Ęꮸ⼢_x0005_"/>
      <sheetName val="MN_唠uꮸ⾝_x0005_"/>
      <sheetName val="MN_嚐Yꮸ】_x0005_"/>
      <sheetName val="MN_婬~媴~ꮸ"/>
      <sheetName val="MN_ꮸ》_x0005__x0000_"/>
      <sheetName val="MN_夀ïꮸ⾥_x0005_"/>
      <sheetName val="MN_ꮸ⾥_x0005__x0000_"/>
      <sheetName val="MS Rates"/>
      <sheetName val="SSR 2010-11 Rates"/>
      <sheetName val="mtc esti"/>
      <sheetName val="MN__x0005_???"/>
      <sheetName val="Part A"/>
      <sheetName val="MN__x0005_"/>
      <sheetName val="MN_ꮸ》_x0005_"/>
      <sheetName val="MN_ꮸ⾥_x0005_"/>
      <sheetName val="MN__x0005_"/>
      <sheetName val="MN_ꮸ》_x0005_"/>
      <sheetName val="MN_ꮸ⾥_x0005_"/>
      <sheetName val="title"/>
      <sheetName val="pier design"/>
      <sheetName val="BM-HOOP"/>
      <sheetName val="const_stat_exp_pipe"/>
      <sheetName val="abs_wirefencin"/>
      <sheetName val="abs_cartage_material"/>
      <sheetName val="state-protect"/>
      <sheetName val="detal_gravit"/>
      <sheetName val="RCC_clear"/>
      <sheetName val="abstra_quarter"/>
      <sheetName val="detail_room"/>
      <sheetName val="unit_barbedwire"/>
      <sheetName val="weight_pipe"/>
      <sheetName val="prjt"/>
      <sheetName val="Chamber on BW "/>
      <sheetName val="JACKWELL"/>
      <sheetName val="BASE_ALL"/>
      <sheetName val="72"/>
      <sheetName val="Schedule &quot;B&quot;"/>
      <sheetName val="CH-8"/>
      <sheetName val="DESBA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refreshError="1"/>
      <sheetData sheetId="176" refreshError="1"/>
      <sheetData sheetId="177"/>
      <sheetData sheetId="178"/>
      <sheetData sheetId="179"/>
      <sheetData sheetId="180">
        <row r="52">
          <cell r="B52" t="str">
            <v>Main Panel</v>
          </cell>
        </row>
      </sheetData>
      <sheetData sheetId="181">
        <row r="52">
          <cell r="B52" t="str">
            <v>Main Panel</v>
          </cell>
        </row>
      </sheetData>
      <sheetData sheetId="182"/>
      <sheetData sheetId="183"/>
      <sheetData sheetId="184"/>
      <sheetData sheetId="185">
        <row r="52">
          <cell r="B52" t="str">
            <v>Main Panel</v>
          </cell>
        </row>
      </sheetData>
      <sheetData sheetId="186"/>
      <sheetData sheetId="187">
        <row r="52">
          <cell r="B52" t="str">
            <v>Main Panel</v>
          </cell>
        </row>
      </sheetData>
      <sheetData sheetId="188">
        <row r="52">
          <cell r="B52" t="str">
            <v>Main Panel</v>
          </cell>
        </row>
      </sheetData>
      <sheetData sheetId="189"/>
      <sheetData sheetId="190">
        <row r="52">
          <cell r="B52" t="str">
            <v>Main Panel</v>
          </cell>
        </row>
      </sheetData>
      <sheetData sheetId="191"/>
      <sheetData sheetId="192"/>
      <sheetData sheetId="193"/>
      <sheetData sheetId="194"/>
      <sheetData sheetId="195"/>
      <sheetData sheetId="196"/>
      <sheetData sheetId="197"/>
      <sheetData sheetId="198"/>
      <sheetData sheetId="199"/>
      <sheetData sheetId="200">
        <row r="52">
          <cell r="B52" t="str">
            <v>Main Panel</v>
          </cell>
        </row>
      </sheetData>
      <sheetData sheetId="201"/>
      <sheetData sheetId="202">
        <row r="52">
          <cell r="B52" t="str">
            <v>Main Panel</v>
          </cell>
        </row>
      </sheetData>
      <sheetData sheetId="203"/>
      <sheetData sheetId="204"/>
      <sheetData sheetId="205">
        <row r="52">
          <cell r="B52" t="str">
            <v>Main Panel</v>
          </cell>
        </row>
      </sheetData>
      <sheetData sheetId="206">
        <row r="52">
          <cell r="B52" t="str">
            <v>Main Panel</v>
          </cell>
        </row>
      </sheetData>
      <sheetData sheetId="207"/>
      <sheetData sheetId="208">
        <row r="52">
          <cell r="B52" t="str">
            <v>Main Panel</v>
          </cell>
        </row>
      </sheetData>
      <sheetData sheetId="209"/>
      <sheetData sheetId="210"/>
      <sheetData sheetId="211">
        <row r="52">
          <cell r="B52" t="str">
            <v>Main Panel</v>
          </cell>
        </row>
      </sheetData>
      <sheetData sheetId="212"/>
      <sheetData sheetId="213"/>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sheetData sheetId="408"/>
      <sheetData sheetId="409"/>
      <sheetData sheetId="410"/>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ow r="52">
          <cell r="B52" t="str">
            <v>Main Panel</v>
          </cell>
        </row>
      </sheetData>
      <sheetData sheetId="791" refreshError="1"/>
      <sheetData sheetId="792" refreshError="1"/>
      <sheetData sheetId="793" refreshError="1"/>
      <sheetData sheetId="794">
        <row r="52">
          <cell r="B52" t="str">
            <v>Main Panel</v>
          </cell>
        </row>
      </sheetData>
      <sheetData sheetId="795">
        <row r="52">
          <cell r="B52" t="str">
            <v>Main Panel</v>
          </cell>
        </row>
      </sheetData>
      <sheetData sheetId="796">
        <row r="52">
          <cell r="B52" t="str">
            <v>Main Panel</v>
          </cell>
        </row>
      </sheetData>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ow r="52">
          <cell r="B52" t="str">
            <v>Main Panel</v>
          </cell>
        </row>
      </sheetData>
      <sheetData sheetId="809">
        <row r="52">
          <cell r="B52" t="str">
            <v>Main Panel</v>
          </cell>
        </row>
      </sheetData>
      <sheetData sheetId="810">
        <row r="52">
          <cell r="B52" t="str">
            <v>Main Panel</v>
          </cell>
        </row>
      </sheetData>
      <sheetData sheetId="811">
        <row r="52">
          <cell r="B52" t="str">
            <v>Main Panel</v>
          </cell>
        </row>
      </sheetData>
      <sheetData sheetId="812">
        <row r="52">
          <cell r="B52" t="str">
            <v>Main Panel</v>
          </cell>
        </row>
      </sheetData>
      <sheetData sheetId="813">
        <row r="52">
          <cell r="B52" t="str">
            <v>Main Panel</v>
          </cell>
        </row>
      </sheetData>
      <sheetData sheetId="814">
        <row r="52">
          <cell r="B52" t="str">
            <v>Main Panel</v>
          </cell>
        </row>
      </sheetData>
      <sheetData sheetId="815">
        <row r="52">
          <cell r="B52" t="str">
            <v>Main Panel</v>
          </cell>
        </row>
      </sheetData>
      <sheetData sheetId="816">
        <row r="52">
          <cell r="B52" t="str">
            <v>Main Panel</v>
          </cell>
        </row>
      </sheetData>
      <sheetData sheetId="817">
        <row r="52">
          <cell r="B52" t="str">
            <v>Main Panel</v>
          </cell>
        </row>
      </sheetData>
      <sheetData sheetId="818">
        <row r="52">
          <cell r="B52" t="str">
            <v>Main Panel</v>
          </cell>
        </row>
      </sheetData>
      <sheetData sheetId="819">
        <row r="52">
          <cell r="B52" t="str">
            <v>Main Panel</v>
          </cell>
        </row>
      </sheetData>
      <sheetData sheetId="820">
        <row r="52">
          <cell r="B52" t="str">
            <v>Main Panel</v>
          </cell>
        </row>
      </sheetData>
      <sheetData sheetId="821">
        <row r="52">
          <cell r="B52" t="str">
            <v>Main Panel</v>
          </cell>
        </row>
      </sheetData>
      <sheetData sheetId="822">
        <row r="52">
          <cell r="B52" t="str">
            <v>Main Panel</v>
          </cell>
        </row>
      </sheetData>
      <sheetData sheetId="823">
        <row r="52">
          <cell r="B52" t="str">
            <v>Main Panel</v>
          </cell>
        </row>
      </sheetData>
      <sheetData sheetId="824">
        <row r="52">
          <cell r="B52" t="str">
            <v>Main Panel</v>
          </cell>
        </row>
      </sheetData>
      <sheetData sheetId="825">
        <row r="52">
          <cell r="B52" t="str">
            <v>Main Panel</v>
          </cell>
        </row>
      </sheetData>
      <sheetData sheetId="826">
        <row r="52">
          <cell r="B52" t="str">
            <v>Main Panel</v>
          </cell>
        </row>
      </sheetData>
      <sheetData sheetId="827">
        <row r="52">
          <cell r="B52" t="str">
            <v>Main Panel</v>
          </cell>
        </row>
      </sheetData>
      <sheetData sheetId="828">
        <row r="52">
          <cell r="B52" t="str">
            <v>Main Panel</v>
          </cell>
        </row>
      </sheetData>
      <sheetData sheetId="829">
        <row r="52">
          <cell r="B52" t="str">
            <v>Main Panel</v>
          </cell>
        </row>
      </sheetData>
      <sheetData sheetId="830">
        <row r="52">
          <cell r="B52" t="str">
            <v>Main Panel</v>
          </cell>
        </row>
      </sheetData>
      <sheetData sheetId="831">
        <row r="52">
          <cell r="B52" t="str">
            <v>Main Panel</v>
          </cell>
        </row>
      </sheetData>
      <sheetData sheetId="832">
        <row r="52">
          <cell r="B52" t="str">
            <v>Main Panel</v>
          </cell>
        </row>
      </sheetData>
      <sheetData sheetId="833">
        <row r="52">
          <cell r="B52" t="str">
            <v>Main Panel</v>
          </cell>
        </row>
      </sheetData>
      <sheetData sheetId="834">
        <row r="52">
          <cell r="B52" t="str">
            <v>Main Panel</v>
          </cell>
        </row>
      </sheetData>
      <sheetData sheetId="835">
        <row r="52">
          <cell r="B52" t="str">
            <v>Main Panel</v>
          </cell>
        </row>
      </sheetData>
      <sheetData sheetId="836">
        <row r="52">
          <cell r="B52" t="str">
            <v>Main Panel</v>
          </cell>
        </row>
      </sheetData>
      <sheetData sheetId="837">
        <row r="52">
          <cell r="B52" t="str">
            <v>Main Panel</v>
          </cell>
        </row>
      </sheetData>
      <sheetData sheetId="838">
        <row r="52">
          <cell r="B52" t="str">
            <v>Main Panel</v>
          </cell>
        </row>
      </sheetData>
      <sheetData sheetId="839">
        <row r="52">
          <cell r="B52" t="str">
            <v>Main Panel</v>
          </cell>
        </row>
      </sheetData>
      <sheetData sheetId="840">
        <row r="52">
          <cell r="B52" t="str">
            <v>Main Panel</v>
          </cell>
        </row>
      </sheetData>
      <sheetData sheetId="841">
        <row r="52">
          <cell r="B52" t="str">
            <v>Main Panel</v>
          </cell>
        </row>
      </sheetData>
      <sheetData sheetId="842">
        <row r="52">
          <cell r="B52" t="str">
            <v>Main Panel</v>
          </cell>
        </row>
      </sheetData>
      <sheetData sheetId="843">
        <row r="52">
          <cell r="B52" t="str">
            <v>Main Panel</v>
          </cell>
        </row>
      </sheetData>
      <sheetData sheetId="844">
        <row r="52">
          <cell r="B52" t="str">
            <v>Main Panel</v>
          </cell>
        </row>
      </sheetData>
      <sheetData sheetId="845">
        <row r="52">
          <cell r="B52" t="str">
            <v>Main Panel</v>
          </cell>
        </row>
      </sheetData>
      <sheetData sheetId="846">
        <row r="52">
          <cell r="B52" t="str">
            <v>Main Panel</v>
          </cell>
        </row>
      </sheetData>
      <sheetData sheetId="847">
        <row r="52">
          <cell r="B52" t="str">
            <v>Main Panel</v>
          </cell>
        </row>
      </sheetData>
      <sheetData sheetId="848">
        <row r="52">
          <cell r="B52" t="str">
            <v>Main Panel</v>
          </cell>
        </row>
      </sheetData>
      <sheetData sheetId="849">
        <row r="52">
          <cell r="B52" t="str">
            <v>Main Panel</v>
          </cell>
        </row>
      </sheetData>
      <sheetData sheetId="850">
        <row r="52">
          <cell r="B52" t="str">
            <v>Main Panel</v>
          </cell>
        </row>
      </sheetData>
      <sheetData sheetId="851">
        <row r="52">
          <cell r="B52" t="str">
            <v>Main Panel</v>
          </cell>
        </row>
      </sheetData>
      <sheetData sheetId="852">
        <row r="52">
          <cell r="B52" t="str">
            <v>Main Panel</v>
          </cell>
        </row>
      </sheetData>
      <sheetData sheetId="853">
        <row r="52">
          <cell r="B52" t="str">
            <v>Main Panel</v>
          </cell>
        </row>
      </sheetData>
      <sheetData sheetId="854">
        <row r="52">
          <cell r="B52" t="str">
            <v>Main Panel</v>
          </cell>
        </row>
      </sheetData>
      <sheetData sheetId="855">
        <row r="52">
          <cell r="B52" t="str">
            <v>Main Panel</v>
          </cell>
        </row>
      </sheetData>
      <sheetData sheetId="856">
        <row r="52">
          <cell r="B52" t="str">
            <v>Main Panel</v>
          </cell>
        </row>
      </sheetData>
      <sheetData sheetId="857">
        <row r="52">
          <cell r="B52" t="str">
            <v>Main Panel</v>
          </cell>
        </row>
      </sheetData>
      <sheetData sheetId="858">
        <row r="52">
          <cell r="B52" t="str">
            <v>Main Panel</v>
          </cell>
        </row>
      </sheetData>
      <sheetData sheetId="859">
        <row r="52">
          <cell r="B52" t="str">
            <v>Main Panel</v>
          </cell>
        </row>
      </sheetData>
      <sheetData sheetId="860">
        <row r="52">
          <cell r="B52" t="str">
            <v>Main Panel</v>
          </cell>
        </row>
      </sheetData>
      <sheetData sheetId="861">
        <row r="52">
          <cell r="B52" t="str">
            <v>Main Panel</v>
          </cell>
        </row>
      </sheetData>
      <sheetData sheetId="862">
        <row r="52">
          <cell r="B52" t="str">
            <v>Main Panel</v>
          </cell>
        </row>
      </sheetData>
      <sheetData sheetId="863">
        <row r="52">
          <cell r="B52" t="str">
            <v>Main Panel</v>
          </cell>
        </row>
      </sheetData>
      <sheetData sheetId="864">
        <row r="52">
          <cell r="B52" t="str">
            <v>Main Panel</v>
          </cell>
        </row>
      </sheetData>
      <sheetData sheetId="865">
        <row r="52">
          <cell r="B52" t="str">
            <v>Main Panel</v>
          </cell>
        </row>
      </sheetData>
      <sheetData sheetId="866">
        <row r="52">
          <cell r="B52" t="str">
            <v>Main Panel</v>
          </cell>
        </row>
      </sheetData>
      <sheetData sheetId="867">
        <row r="52">
          <cell r="B52" t="str">
            <v>Main Panel</v>
          </cell>
        </row>
      </sheetData>
      <sheetData sheetId="868">
        <row r="52">
          <cell r="B52" t="str">
            <v>Main Panel</v>
          </cell>
        </row>
      </sheetData>
      <sheetData sheetId="869">
        <row r="52">
          <cell r="B52" t="str">
            <v>Main Panel</v>
          </cell>
        </row>
      </sheetData>
      <sheetData sheetId="870">
        <row r="52">
          <cell r="B52" t="str">
            <v>Main Panel</v>
          </cell>
        </row>
      </sheetData>
      <sheetData sheetId="871">
        <row r="52">
          <cell r="B52" t="str">
            <v>Main Panel</v>
          </cell>
        </row>
      </sheetData>
      <sheetData sheetId="872">
        <row r="52">
          <cell r="B52" t="str">
            <v>Main Panel</v>
          </cell>
        </row>
      </sheetData>
      <sheetData sheetId="873">
        <row r="52">
          <cell r="B52" t="str">
            <v>Main Panel</v>
          </cell>
        </row>
      </sheetData>
      <sheetData sheetId="874">
        <row r="52">
          <cell r="B52" t="str">
            <v>Main Panel</v>
          </cell>
        </row>
      </sheetData>
      <sheetData sheetId="875">
        <row r="52">
          <cell r="B52" t="str">
            <v>Main Panel</v>
          </cell>
        </row>
      </sheetData>
      <sheetData sheetId="876">
        <row r="52">
          <cell r="B52" t="str">
            <v>Main Panel</v>
          </cell>
        </row>
      </sheetData>
      <sheetData sheetId="877">
        <row r="52">
          <cell r="B52" t="str">
            <v>Main Panel</v>
          </cell>
        </row>
      </sheetData>
      <sheetData sheetId="878">
        <row r="52">
          <cell r="B52" t="str">
            <v>Main Panel</v>
          </cell>
        </row>
      </sheetData>
      <sheetData sheetId="879">
        <row r="52">
          <cell r="B52" t="str">
            <v>Main Panel</v>
          </cell>
        </row>
      </sheetData>
      <sheetData sheetId="880">
        <row r="52">
          <cell r="B52" t="str">
            <v>Main Panel</v>
          </cell>
        </row>
      </sheetData>
      <sheetData sheetId="881">
        <row r="52">
          <cell r="B52" t="str">
            <v>Main Panel</v>
          </cell>
        </row>
      </sheetData>
      <sheetData sheetId="882">
        <row r="52">
          <cell r="B52" t="str">
            <v>Main Panel</v>
          </cell>
        </row>
      </sheetData>
      <sheetData sheetId="883">
        <row r="52">
          <cell r="B52" t="str">
            <v>Main Panel</v>
          </cell>
        </row>
      </sheetData>
      <sheetData sheetId="884">
        <row r="52">
          <cell r="B52" t="str">
            <v>Main Panel</v>
          </cell>
        </row>
      </sheetData>
      <sheetData sheetId="885">
        <row r="52">
          <cell r="B52" t="str">
            <v>Main Panel</v>
          </cell>
        </row>
      </sheetData>
      <sheetData sheetId="886">
        <row r="52">
          <cell r="B52" t="str">
            <v>Main Panel</v>
          </cell>
        </row>
      </sheetData>
      <sheetData sheetId="887">
        <row r="52">
          <cell r="B52" t="str">
            <v>Main Panel</v>
          </cell>
        </row>
      </sheetData>
      <sheetData sheetId="888">
        <row r="52">
          <cell r="B52" t="str">
            <v>Main Panel</v>
          </cell>
        </row>
      </sheetData>
      <sheetData sheetId="889">
        <row r="52">
          <cell r="B52" t="str">
            <v>Main Panel</v>
          </cell>
        </row>
      </sheetData>
      <sheetData sheetId="890">
        <row r="52">
          <cell r="B52" t="str">
            <v>Main Panel</v>
          </cell>
        </row>
      </sheetData>
      <sheetData sheetId="891">
        <row r="52">
          <cell r="B52" t="str">
            <v>Main Panel</v>
          </cell>
        </row>
      </sheetData>
      <sheetData sheetId="892">
        <row r="52">
          <cell r="B52" t="str">
            <v>Main Panel</v>
          </cell>
        </row>
      </sheetData>
      <sheetData sheetId="893">
        <row r="52">
          <cell r="B52" t="str">
            <v>Main Panel</v>
          </cell>
        </row>
      </sheetData>
      <sheetData sheetId="894">
        <row r="52">
          <cell r="B52" t="str">
            <v>Main Panel</v>
          </cell>
        </row>
      </sheetData>
      <sheetData sheetId="895">
        <row r="52">
          <cell r="B52" t="str">
            <v>Main Panel</v>
          </cell>
        </row>
      </sheetData>
      <sheetData sheetId="896">
        <row r="52">
          <cell r="B52" t="str">
            <v>Main Panel</v>
          </cell>
        </row>
      </sheetData>
      <sheetData sheetId="897">
        <row r="52">
          <cell r="B52" t="str">
            <v>Main Panel</v>
          </cell>
        </row>
      </sheetData>
      <sheetData sheetId="898" refreshError="1"/>
      <sheetData sheetId="899" refreshError="1"/>
      <sheetData sheetId="900" refreshError="1"/>
      <sheetData sheetId="901" refreshError="1"/>
      <sheetData sheetId="902" refreshError="1"/>
      <sheetData sheetId="903">
        <row r="52">
          <cell r="B52" t="str">
            <v>Main Panel</v>
          </cell>
        </row>
      </sheetData>
      <sheetData sheetId="904">
        <row r="52">
          <cell r="B52" t="str">
            <v>Main Panel</v>
          </cell>
        </row>
      </sheetData>
      <sheetData sheetId="905" refreshError="1"/>
      <sheetData sheetId="906">
        <row r="52">
          <cell r="B52" t="str">
            <v>Main Panel</v>
          </cell>
        </row>
      </sheetData>
      <sheetData sheetId="907" refreshError="1"/>
      <sheetData sheetId="908" refreshError="1"/>
      <sheetData sheetId="909" refreshError="1"/>
      <sheetData sheetId="910" refreshError="1"/>
      <sheetData sheetId="911" refreshError="1"/>
      <sheetData sheetId="912">
        <row r="52">
          <cell r="B52" t="str">
            <v>Main Panel</v>
          </cell>
        </row>
      </sheetData>
      <sheetData sheetId="913">
        <row r="52">
          <cell r="B52" t="str">
            <v>Main Panel</v>
          </cell>
        </row>
      </sheetData>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ow r="52">
          <cell r="B52" t="str">
            <v>Main Panel</v>
          </cell>
        </row>
      </sheetData>
      <sheetData sheetId="930">
        <row r="52">
          <cell r="B52" t="str">
            <v>Main Panel</v>
          </cell>
        </row>
      </sheetData>
      <sheetData sheetId="931" refreshError="1"/>
      <sheetData sheetId="932" refreshError="1"/>
      <sheetData sheetId="933" refreshError="1"/>
      <sheetData sheetId="934">
        <row r="52">
          <cell r="B52" t="str">
            <v>Main Panel</v>
          </cell>
        </row>
      </sheetData>
      <sheetData sheetId="935" refreshError="1"/>
      <sheetData sheetId="936">
        <row r="52">
          <cell r="B52" t="str">
            <v>Main Panel</v>
          </cell>
        </row>
      </sheetData>
      <sheetData sheetId="937">
        <row r="52">
          <cell r="B52" t="str">
            <v>Main Panel</v>
          </cell>
        </row>
      </sheetData>
      <sheetData sheetId="938">
        <row r="52">
          <cell r="B52" t="str">
            <v>Main Panel</v>
          </cell>
        </row>
      </sheetData>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ow r="52">
          <cell r="B52" t="str">
            <v>Main Panel</v>
          </cell>
        </row>
      </sheetData>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sheetData sheetId="994"/>
      <sheetData sheetId="995">
        <row r="52">
          <cell r="B52" t="str">
            <v>Main Panel</v>
          </cell>
        </row>
      </sheetData>
      <sheetData sheetId="996">
        <row r="52">
          <cell r="B52" t="str">
            <v>Main Panel</v>
          </cell>
        </row>
      </sheetData>
      <sheetData sheetId="997">
        <row r="52">
          <cell r="B52" t="str">
            <v>Main Panel</v>
          </cell>
        </row>
      </sheetData>
      <sheetData sheetId="998">
        <row r="52">
          <cell r="B52" t="str">
            <v>Main Panel</v>
          </cell>
        </row>
      </sheetData>
      <sheetData sheetId="999">
        <row r="52">
          <cell r="B52" t="str">
            <v>Main Panel</v>
          </cell>
        </row>
      </sheetData>
      <sheetData sheetId="1000">
        <row r="52">
          <cell r="B52" t="str">
            <v>Main Panel</v>
          </cell>
        </row>
      </sheetData>
      <sheetData sheetId="1001">
        <row r="52">
          <cell r="B52" t="str">
            <v>Main Panel</v>
          </cell>
        </row>
      </sheetData>
      <sheetData sheetId="1002">
        <row r="52">
          <cell r="B52" t="str">
            <v>Main Panel</v>
          </cell>
        </row>
      </sheetData>
      <sheetData sheetId="1003">
        <row r="52">
          <cell r="B52" t="str">
            <v>Main Panel</v>
          </cell>
        </row>
      </sheetData>
      <sheetData sheetId="1004">
        <row r="52">
          <cell r="B52" t="str">
            <v>Main Panel</v>
          </cell>
        </row>
      </sheetData>
      <sheetData sheetId="1005">
        <row r="52">
          <cell r="B52" t="str">
            <v>Main Panel</v>
          </cell>
        </row>
      </sheetData>
      <sheetData sheetId="1006">
        <row r="52">
          <cell r="B52" t="str">
            <v>Main Panel</v>
          </cell>
        </row>
      </sheetData>
      <sheetData sheetId="1007">
        <row r="52">
          <cell r="B52" t="str">
            <v>Main Panel</v>
          </cell>
        </row>
      </sheetData>
      <sheetData sheetId="1008">
        <row r="52">
          <cell r="B52" t="str">
            <v>Main Panel</v>
          </cell>
        </row>
      </sheetData>
      <sheetData sheetId="1009">
        <row r="52">
          <cell r="B52" t="str">
            <v>Main Panel</v>
          </cell>
        </row>
      </sheetData>
      <sheetData sheetId="1010">
        <row r="52">
          <cell r="B52" t="str">
            <v>Main Panel</v>
          </cell>
        </row>
      </sheetData>
      <sheetData sheetId="1011">
        <row r="52">
          <cell r="B52" t="str">
            <v>Main Panel</v>
          </cell>
        </row>
      </sheetData>
      <sheetData sheetId="1012">
        <row r="52">
          <cell r="B52" t="str">
            <v>Main Panel</v>
          </cell>
        </row>
      </sheetData>
      <sheetData sheetId="1013">
        <row r="52">
          <cell r="B52" t="str">
            <v>Main Panel</v>
          </cell>
        </row>
      </sheetData>
      <sheetData sheetId="1014">
        <row r="52">
          <cell r="B52" t="str">
            <v>Main Panel</v>
          </cell>
        </row>
      </sheetData>
      <sheetData sheetId="1015">
        <row r="52">
          <cell r="B52" t="str">
            <v>Main Panel</v>
          </cell>
        </row>
      </sheetData>
      <sheetData sheetId="1016">
        <row r="52">
          <cell r="B52" t="str">
            <v>Main Panel</v>
          </cell>
        </row>
      </sheetData>
      <sheetData sheetId="1017">
        <row r="52">
          <cell r="B52" t="str">
            <v>Main Panel</v>
          </cell>
        </row>
      </sheetData>
      <sheetData sheetId="1018">
        <row r="52">
          <cell r="B52" t="str">
            <v>Main Panel</v>
          </cell>
        </row>
      </sheetData>
      <sheetData sheetId="1019">
        <row r="52">
          <cell r="B52" t="str">
            <v>Main Panel</v>
          </cell>
        </row>
      </sheetData>
      <sheetData sheetId="1020">
        <row r="52">
          <cell r="B52" t="str">
            <v>Main Panel</v>
          </cell>
        </row>
      </sheetData>
      <sheetData sheetId="1021">
        <row r="52">
          <cell r="B52" t="str">
            <v>Main Panel</v>
          </cell>
        </row>
      </sheetData>
      <sheetData sheetId="1022">
        <row r="52">
          <cell r="B52" t="str">
            <v>Main Panel</v>
          </cell>
        </row>
      </sheetData>
      <sheetData sheetId="1023">
        <row r="52">
          <cell r="B52" t="str">
            <v>Main Panel</v>
          </cell>
        </row>
      </sheetData>
      <sheetData sheetId="1024">
        <row r="52">
          <cell r="B52" t="str">
            <v>Main Panel</v>
          </cell>
        </row>
      </sheetData>
      <sheetData sheetId="1025">
        <row r="52">
          <cell r="B52" t="str">
            <v>Main Panel</v>
          </cell>
        </row>
      </sheetData>
      <sheetData sheetId="1026">
        <row r="52">
          <cell r="B52" t="str">
            <v>Main Panel</v>
          </cell>
        </row>
      </sheetData>
      <sheetData sheetId="1027">
        <row r="52">
          <cell r="B52" t="str">
            <v>Main Panel</v>
          </cell>
        </row>
      </sheetData>
      <sheetData sheetId="1028">
        <row r="52">
          <cell r="B52" t="str">
            <v>Main Panel</v>
          </cell>
        </row>
      </sheetData>
      <sheetData sheetId="1029">
        <row r="52">
          <cell r="B52" t="str">
            <v>Main Panel</v>
          </cell>
        </row>
      </sheetData>
      <sheetData sheetId="1030">
        <row r="52">
          <cell r="B52" t="str">
            <v>Main Panel</v>
          </cell>
        </row>
      </sheetData>
      <sheetData sheetId="1031">
        <row r="52">
          <cell r="B52" t="str">
            <v>Main Panel</v>
          </cell>
        </row>
      </sheetData>
      <sheetData sheetId="1032">
        <row r="52">
          <cell r="B52" t="str">
            <v>Main Panel</v>
          </cell>
        </row>
      </sheetData>
      <sheetData sheetId="1033">
        <row r="52">
          <cell r="B52" t="str">
            <v>Main Panel</v>
          </cell>
        </row>
      </sheetData>
      <sheetData sheetId="1034">
        <row r="52">
          <cell r="B52" t="str">
            <v>Main Panel</v>
          </cell>
        </row>
      </sheetData>
      <sheetData sheetId="1035">
        <row r="52">
          <cell r="B52" t="str">
            <v>Main Panel</v>
          </cell>
        </row>
      </sheetData>
      <sheetData sheetId="1036">
        <row r="52">
          <cell r="B52" t="str">
            <v>Main Panel</v>
          </cell>
        </row>
      </sheetData>
      <sheetData sheetId="1037">
        <row r="52">
          <cell r="B52" t="str">
            <v>Main Panel</v>
          </cell>
        </row>
      </sheetData>
      <sheetData sheetId="1038">
        <row r="52">
          <cell r="B52" t="str">
            <v>Main Panel</v>
          </cell>
        </row>
      </sheetData>
      <sheetData sheetId="1039">
        <row r="52">
          <cell r="B52" t="str">
            <v>Main Panel</v>
          </cell>
        </row>
      </sheetData>
      <sheetData sheetId="1040">
        <row r="52">
          <cell r="B52" t="str">
            <v>Main Panel</v>
          </cell>
        </row>
      </sheetData>
      <sheetData sheetId="1041">
        <row r="52">
          <cell r="B52" t="str">
            <v>Main Panel</v>
          </cell>
        </row>
      </sheetData>
      <sheetData sheetId="1042">
        <row r="52">
          <cell r="B52" t="str">
            <v>Main Panel</v>
          </cell>
        </row>
      </sheetData>
      <sheetData sheetId="1043">
        <row r="52">
          <cell r="B52" t="str">
            <v>Main Panel</v>
          </cell>
        </row>
      </sheetData>
      <sheetData sheetId="1044">
        <row r="52">
          <cell r="B52" t="str">
            <v>Main Panel</v>
          </cell>
        </row>
      </sheetData>
      <sheetData sheetId="1045">
        <row r="52">
          <cell r="B52" t="str">
            <v>Main Panel</v>
          </cell>
        </row>
      </sheetData>
      <sheetData sheetId="1046">
        <row r="52">
          <cell r="B52" t="str">
            <v>Main Panel</v>
          </cell>
        </row>
      </sheetData>
      <sheetData sheetId="1047">
        <row r="52">
          <cell r="B52" t="str">
            <v>Main Panel</v>
          </cell>
        </row>
      </sheetData>
      <sheetData sheetId="1048">
        <row r="52">
          <cell r="B52" t="str">
            <v>Main Panel</v>
          </cell>
        </row>
      </sheetData>
      <sheetData sheetId="1049">
        <row r="52">
          <cell r="B52" t="str">
            <v>Main Panel</v>
          </cell>
        </row>
      </sheetData>
      <sheetData sheetId="1050">
        <row r="52">
          <cell r="B52" t="str">
            <v>Main Panel</v>
          </cell>
        </row>
      </sheetData>
      <sheetData sheetId="1051">
        <row r="52">
          <cell r="B52" t="str">
            <v>Main Panel</v>
          </cell>
        </row>
      </sheetData>
      <sheetData sheetId="1052">
        <row r="52">
          <cell r="B52" t="str">
            <v>Main Panel</v>
          </cell>
        </row>
      </sheetData>
      <sheetData sheetId="1053">
        <row r="52">
          <cell r="B52" t="str">
            <v>Main Panel</v>
          </cell>
        </row>
      </sheetData>
      <sheetData sheetId="1054">
        <row r="52">
          <cell r="B52" t="str">
            <v>Main Panel</v>
          </cell>
        </row>
      </sheetData>
      <sheetData sheetId="1055">
        <row r="52">
          <cell r="B52" t="str">
            <v>Main Panel</v>
          </cell>
        </row>
      </sheetData>
      <sheetData sheetId="1056">
        <row r="52">
          <cell r="B52" t="str">
            <v>Main Panel</v>
          </cell>
        </row>
      </sheetData>
      <sheetData sheetId="1057">
        <row r="52">
          <cell r="B52" t="str">
            <v>Main Panel</v>
          </cell>
        </row>
      </sheetData>
      <sheetData sheetId="1058">
        <row r="52">
          <cell r="B52" t="str">
            <v>Main Panel</v>
          </cell>
        </row>
      </sheetData>
      <sheetData sheetId="1059">
        <row r="52">
          <cell r="B52" t="str">
            <v>Main Panel</v>
          </cell>
        </row>
      </sheetData>
      <sheetData sheetId="1060">
        <row r="52">
          <cell r="B52" t="str">
            <v>Main Panel</v>
          </cell>
        </row>
      </sheetData>
      <sheetData sheetId="1061">
        <row r="52">
          <cell r="B52" t="str">
            <v>Main Panel</v>
          </cell>
        </row>
      </sheetData>
      <sheetData sheetId="1062">
        <row r="52">
          <cell r="B52" t="str">
            <v>Main Panel</v>
          </cell>
        </row>
      </sheetData>
      <sheetData sheetId="1063">
        <row r="52">
          <cell r="B52" t="str">
            <v>Main Panel</v>
          </cell>
        </row>
      </sheetData>
      <sheetData sheetId="1064">
        <row r="52">
          <cell r="B52" t="str">
            <v>Main Panel</v>
          </cell>
        </row>
      </sheetData>
      <sheetData sheetId="1065">
        <row r="52">
          <cell r="B52" t="str">
            <v>Main Panel</v>
          </cell>
        </row>
      </sheetData>
      <sheetData sheetId="1066">
        <row r="52">
          <cell r="B52" t="str">
            <v>Main Panel</v>
          </cell>
        </row>
      </sheetData>
      <sheetData sheetId="1067">
        <row r="52">
          <cell r="B52" t="str">
            <v>Main Panel</v>
          </cell>
        </row>
      </sheetData>
      <sheetData sheetId="1068">
        <row r="52">
          <cell r="B52" t="str">
            <v>Main Panel</v>
          </cell>
        </row>
      </sheetData>
      <sheetData sheetId="1069">
        <row r="52">
          <cell r="B52" t="str">
            <v>Main Panel</v>
          </cell>
        </row>
      </sheetData>
      <sheetData sheetId="1070">
        <row r="52">
          <cell r="B52" t="str">
            <v>Main Panel</v>
          </cell>
        </row>
      </sheetData>
      <sheetData sheetId="1071">
        <row r="52">
          <cell r="B52" t="str">
            <v>Main Panel</v>
          </cell>
        </row>
      </sheetData>
      <sheetData sheetId="1072">
        <row r="52">
          <cell r="B52" t="str">
            <v>Main Panel</v>
          </cell>
        </row>
      </sheetData>
      <sheetData sheetId="1073">
        <row r="52">
          <cell r="B52" t="str">
            <v>Main Panel</v>
          </cell>
        </row>
      </sheetData>
      <sheetData sheetId="1074">
        <row r="52">
          <cell r="B52" t="str">
            <v>Main Panel</v>
          </cell>
        </row>
      </sheetData>
      <sheetData sheetId="1075">
        <row r="52">
          <cell r="B52" t="str">
            <v>Main Panel</v>
          </cell>
        </row>
      </sheetData>
      <sheetData sheetId="1076">
        <row r="52">
          <cell r="B52" t="str">
            <v>Main Panel</v>
          </cell>
        </row>
      </sheetData>
      <sheetData sheetId="1077">
        <row r="52">
          <cell r="B52" t="str">
            <v>Main Panel</v>
          </cell>
        </row>
      </sheetData>
      <sheetData sheetId="1078">
        <row r="52">
          <cell r="B52" t="str">
            <v>Main Panel</v>
          </cell>
        </row>
      </sheetData>
      <sheetData sheetId="1079">
        <row r="52">
          <cell r="B52" t="str">
            <v>Main Panel</v>
          </cell>
        </row>
      </sheetData>
      <sheetData sheetId="1080">
        <row r="52">
          <cell r="B52" t="str">
            <v>Main Panel</v>
          </cell>
        </row>
      </sheetData>
      <sheetData sheetId="1081">
        <row r="52">
          <cell r="B52" t="str">
            <v>Main Panel</v>
          </cell>
        </row>
      </sheetData>
      <sheetData sheetId="1082">
        <row r="52">
          <cell r="B52" t="str">
            <v>Main Panel</v>
          </cell>
        </row>
      </sheetData>
      <sheetData sheetId="1083">
        <row r="52">
          <cell r="B52" t="str">
            <v>Main Panel</v>
          </cell>
        </row>
      </sheetData>
      <sheetData sheetId="1084">
        <row r="52">
          <cell r="B52" t="str">
            <v>Main Panel</v>
          </cell>
        </row>
      </sheetData>
      <sheetData sheetId="1085">
        <row r="52">
          <cell r="B52" t="str">
            <v>Main Panel</v>
          </cell>
        </row>
      </sheetData>
      <sheetData sheetId="1086">
        <row r="52">
          <cell r="B52" t="str">
            <v>Main Panel</v>
          </cell>
        </row>
      </sheetData>
      <sheetData sheetId="1087">
        <row r="52">
          <cell r="B52" t="str">
            <v>Main Panel</v>
          </cell>
        </row>
      </sheetData>
      <sheetData sheetId="1088">
        <row r="52">
          <cell r="B52" t="str">
            <v>Main Panel</v>
          </cell>
        </row>
      </sheetData>
      <sheetData sheetId="1089">
        <row r="52">
          <cell r="B52" t="str">
            <v>Main Panel</v>
          </cell>
        </row>
      </sheetData>
      <sheetData sheetId="1090">
        <row r="52">
          <cell r="B52" t="str">
            <v>Main Panel</v>
          </cell>
        </row>
      </sheetData>
      <sheetData sheetId="1091">
        <row r="52">
          <cell r="B52" t="str">
            <v>Main Panel</v>
          </cell>
        </row>
      </sheetData>
      <sheetData sheetId="1092">
        <row r="52">
          <cell r="B52" t="str">
            <v>Main Panel</v>
          </cell>
        </row>
      </sheetData>
      <sheetData sheetId="1093">
        <row r="52">
          <cell r="B52" t="str">
            <v>Main Panel</v>
          </cell>
        </row>
      </sheetData>
      <sheetData sheetId="1094">
        <row r="52">
          <cell r="B52" t="str">
            <v>Main Panel</v>
          </cell>
        </row>
      </sheetData>
      <sheetData sheetId="1095">
        <row r="52">
          <cell r="B52" t="str">
            <v>Main Panel</v>
          </cell>
        </row>
      </sheetData>
      <sheetData sheetId="1096">
        <row r="52">
          <cell r="B52" t="str">
            <v>Main Panel</v>
          </cell>
        </row>
      </sheetData>
      <sheetData sheetId="1097">
        <row r="52">
          <cell r="B52" t="str">
            <v>Main Panel</v>
          </cell>
        </row>
      </sheetData>
      <sheetData sheetId="1098">
        <row r="52">
          <cell r="B52" t="str">
            <v>Main Panel</v>
          </cell>
        </row>
      </sheetData>
      <sheetData sheetId="1099">
        <row r="52">
          <cell r="B52" t="str">
            <v>Main Panel</v>
          </cell>
        </row>
      </sheetData>
      <sheetData sheetId="1100">
        <row r="52">
          <cell r="B52" t="str">
            <v>Main Panel</v>
          </cell>
        </row>
      </sheetData>
      <sheetData sheetId="1101">
        <row r="52">
          <cell r="B52" t="str">
            <v>Main Panel</v>
          </cell>
        </row>
      </sheetData>
      <sheetData sheetId="1102">
        <row r="52">
          <cell r="B52" t="str">
            <v>Main Panel</v>
          </cell>
        </row>
      </sheetData>
      <sheetData sheetId="1103">
        <row r="52">
          <cell r="B52" t="str">
            <v>Main Panel</v>
          </cell>
        </row>
      </sheetData>
      <sheetData sheetId="1104">
        <row r="52">
          <cell r="B52" t="str">
            <v>Main Panel</v>
          </cell>
        </row>
      </sheetData>
      <sheetData sheetId="1105">
        <row r="52">
          <cell r="B52" t="str">
            <v>Main Panel</v>
          </cell>
        </row>
      </sheetData>
      <sheetData sheetId="1106">
        <row r="52">
          <cell r="B52" t="str">
            <v>Main Panel</v>
          </cell>
        </row>
      </sheetData>
      <sheetData sheetId="1107">
        <row r="52">
          <cell r="B52" t="str">
            <v>Main Panel</v>
          </cell>
        </row>
      </sheetData>
      <sheetData sheetId="1108">
        <row r="52">
          <cell r="B52" t="str">
            <v>Main Panel</v>
          </cell>
        </row>
      </sheetData>
      <sheetData sheetId="1109">
        <row r="52">
          <cell r="B52" t="str">
            <v>Main Panel</v>
          </cell>
        </row>
      </sheetData>
      <sheetData sheetId="1110">
        <row r="52">
          <cell r="B52" t="str">
            <v>Main Panel</v>
          </cell>
        </row>
      </sheetData>
      <sheetData sheetId="1111">
        <row r="52">
          <cell r="B52" t="str">
            <v>Main Panel</v>
          </cell>
        </row>
      </sheetData>
      <sheetData sheetId="1112">
        <row r="52">
          <cell r="B52" t="str">
            <v>Main Panel</v>
          </cell>
        </row>
      </sheetData>
      <sheetData sheetId="1113">
        <row r="52">
          <cell r="B52" t="str">
            <v>Main Panel</v>
          </cell>
        </row>
      </sheetData>
      <sheetData sheetId="1114">
        <row r="52">
          <cell r="B52" t="str">
            <v>Main Panel</v>
          </cell>
        </row>
      </sheetData>
      <sheetData sheetId="1115">
        <row r="52">
          <cell r="B52" t="str">
            <v>Main Panel</v>
          </cell>
        </row>
      </sheetData>
      <sheetData sheetId="1116">
        <row r="52">
          <cell r="B52" t="str">
            <v>Main Panel</v>
          </cell>
        </row>
      </sheetData>
      <sheetData sheetId="1117">
        <row r="52">
          <cell r="B52" t="str">
            <v>Main Panel</v>
          </cell>
        </row>
      </sheetData>
      <sheetData sheetId="1118">
        <row r="52">
          <cell r="B52" t="str">
            <v>Main Panel</v>
          </cell>
        </row>
      </sheetData>
      <sheetData sheetId="1119">
        <row r="52">
          <cell r="B52" t="str">
            <v>Main Panel</v>
          </cell>
        </row>
      </sheetData>
      <sheetData sheetId="1120">
        <row r="52">
          <cell r="B52" t="str">
            <v>Main Panel</v>
          </cell>
        </row>
      </sheetData>
      <sheetData sheetId="1121">
        <row r="52">
          <cell r="B52" t="str">
            <v>Main Panel</v>
          </cell>
        </row>
      </sheetData>
      <sheetData sheetId="1122">
        <row r="52">
          <cell r="B52" t="str">
            <v>Main Panel</v>
          </cell>
        </row>
      </sheetData>
      <sheetData sheetId="1123">
        <row r="52">
          <cell r="B52" t="str">
            <v>Main Panel</v>
          </cell>
        </row>
      </sheetData>
      <sheetData sheetId="1124">
        <row r="52">
          <cell r="B52" t="str">
            <v>Main Panel</v>
          </cell>
        </row>
      </sheetData>
      <sheetData sheetId="1125">
        <row r="52">
          <cell r="B52" t="str">
            <v>Main Panel</v>
          </cell>
        </row>
      </sheetData>
      <sheetData sheetId="1126">
        <row r="52">
          <cell r="B52" t="str">
            <v>Main Panel</v>
          </cell>
        </row>
      </sheetData>
      <sheetData sheetId="1127">
        <row r="52">
          <cell r="B52" t="str">
            <v>Main Panel</v>
          </cell>
        </row>
      </sheetData>
      <sheetData sheetId="1128">
        <row r="52">
          <cell r="B52" t="str">
            <v>Main Panel</v>
          </cell>
        </row>
      </sheetData>
      <sheetData sheetId="1129">
        <row r="52">
          <cell r="B52" t="str">
            <v>Main Panel</v>
          </cell>
        </row>
      </sheetData>
      <sheetData sheetId="1130">
        <row r="52">
          <cell r="B52" t="str">
            <v>Main Panel</v>
          </cell>
        </row>
      </sheetData>
      <sheetData sheetId="1131">
        <row r="52">
          <cell r="B52" t="str">
            <v>Main Panel</v>
          </cell>
        </row>
      </sheetData>
      <sheetData sheetId="1132">
        <row r="52">
          <cell r="B52" t="str">
            <v>Main Panel</v>
          </cell>
        </row>
      </sheetData>
      <sheetData sheetId="1133">
        <row r="52">
          <cell r="B52" t="str">
            <v>Main Panel</v>
          </cell>
        </row>
      </sheetData>
      <sheetData sheetId="1134">
        <row r="52">
          <cell r="B52" t="str">
            <v>Main Panel</v>
          </cell>
        </row>
      </sheetData>
      <sheetData sheetId="1135">
        <row r="52">
          <cell r="B52" t="str">
            <v>Main Panel</v>
          </cell>
        </row>
      </sheetData>
      <sheetData sheetId="1136">
        <row r="52">
          <cell r="B52" t="str">
            <v>Main Panel</v>
          </cell>
        </row>
      </sheetData>
      <sheetData sheetId="1137">
        <row r="52">
          <cell r="B52" t="str">
            <v>Main Panel</v>
          </cell>
        </row>
      </sheetData>
      <sheetData sheetId="1138">
        <row r="52">
          <cell r="B52" t="str">
            <v>Main Panel</v>
          </cell>
        </row>
      </sheetData>
      <sheetData sheetId="1139">
        <row r="52">
          <cell r="B52" t="str">
            <v>Main Panel</v>
          </cell>
        </row>
      </sheetData>
      <sheetData sheetId="1140">
        <row r="52">
          <cell r="B52" t="str">
            <v>Main Panel</v>
          </cell>
        </row>
      </sheetData>
      <sheetData sheetId="1141">
        <row r="52">
          <cell r="B52" t="str">
            <v>Main Panel</v>
          </cell>
        </row>
      </sheetData>
      <sheetData sheetId="1142">
        <row r="52">
          <cell r="B52" t="str">
            <v>Main Panel</v>
          </cell>
        </row>
      </sheetData>
      <sheetData sheetId="1143">
        <row r="52">
          <cell r="B52" t="str">
            <v>Main Panel</v>
          </cell>
        </row>
      </sheetData>
      <sheetData sheetId="1144">
        <row r="52">
          <cell r="B52" t="str">
            <v>Main Panel</v>
          </cell>
        </row>
      </sheetData>
      <sheetData sheetId="1145">
        <row r="52">
          <cell r="B52" t="str">
            <v>Main Panel</v>
          </cell>
        </row>
      </sheetData>
      <sheetData sheetId="1146">
        <row r="52">
          <cell r="B52" t="str">
            <v>Main Panel</v>
          </cell>
        </row>
      </sheetData>
      <sheetData sheetId="1147">
        <row r="52">
          <cell r="B52" t="str">
            <v>Main Panel</v>
          </cell>
        </row>
      </sheetData>
      <sheetData sheetId="1148">
        <row r="52">
          <cell r="B52" t="str">
            <v>Main Panel</v>
          </cell>
        </row>
      </sheetData>
      <sheetData sheetId="1149">
        <row r="52">
          <cell r="B52" t="str">
            <v>Main Panel</v>
          </cell>
        </row>
      </sheetData>
      <sheetData sheetId="1150">
        <row r="52">
          <cell r="B52" t="str">
            <v>Main Panel</v>
          </cell>
        </row>
      </sheetData>
      <sheetData sheetId="1151">
        <row r="52">
          <cell r="B52" t="str">
            <v>Main Panel</v>
          </cell>
        </row>
      </sheetData>
      <sheetData sheetId="1152">
        <row r="52">
          <cell r="B52" t="str">
            <v>Main Panel</v>
          </cell>
        </row>
      </sheetData>
      <sheetData sheetId="1153">
        <row r="52">
          <cell r="B52" t="str">
            <v>Main Panel</v>
          </cell>
        </row>
      </sheetData>
      <sheetData sheetId="1154">
        <row r="52">
          <cell r="B52" t="str">
            <v>Main Panel</v>
          </cell>
        </row>
      </sheetData>
      <sheetData sheetId="1155">
        <row r="52">
          <cell r="B52" t="str">
            <v>Main Panel</v>
          </cell>
        </row>
      </sheetData>
      <sheetData sheetId="1156">
        <row r="52">
          <cell r="B52" t="str">
            <v>Main Panel</v>
          </cell>
        </row>
      </sheetData>
      <sheetData sheetId="1157">
        <row r="52">
          <cell r="B52" t="str">
            <v>Main Panel</v>
          </cell>
        </row>
      </sheetData>
      <sheetData sheetId="1158">
        <row r="52">
          <cell r="B52" t="str">
            <v>Main Panel</v>
          </cell>
        </row>
      </sheetData>
      <sheetData sheetId="1159">
        <row r="52">
          <cell r="B52" t="str">
            <v>Main Panel</v>
          </cell>
        </row>
      </sheetData>
      <sheetData sheetId="1160">
        <row r="52">
          <cell r="B52" t="str">
            <v>Main Panel</v>
          </cell>
        </row>
      </sheetData>
      <sheetData sheetId="1161">
        <row r="52">
          <cell r="B52" t="str">
            <v>Main Panel</v>
          </cell>
        </row>
      </sheetData>
      <sheetData sheetId="1162">
        <row r="52">
          <cell r="B52" t="str">
            <v>Main Panel</v>
          </cell>
        </row>
      </sheetData>
      <sheetData sheetId="1163">
        <row r="52">
          <cell r="B52" t="str">
            <v>Main Panel</v>
          </cell>
        </row>
      </sheetData>
      <sheetData sheetId="1164">
        <row r="52">
          <cell r="B52" t="str">
            <v>Main Panel</v>
          </cell>
        </row>
      </sheetData>
      <sheetData sheetId="1165">
        <row r="52">
          <cell r="B52" t="str">
            <v>Main Panel</v>
          </cell>
        </row>
      </sheetData>
      <sheetData sheetId="1166">
        <row r="52">
          <cell r="B52" t="str">
            <v>Main Panel</v>
          </cell>
        </row>
      </sheetData>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ow r="52">
          <cell r="B52" t="str">
            <v>Main Panel</v>
          </cell>
        </row>
      </sheetData>
      <sheetData sheetId="1228">
        <row r="52">
          <cell r="B52" t="str">
            <v>Main Panel</v>
          </cell>
        </row>
      </sheetData>
      <sheetData sheetId="1229">
        <row r="52">
          <cell r="B52" t="str">
            <v>Main Panel</v>
          </cell>
        </row>
      </sheetData>
      <sheetData sheetId="1230">
        <row r="52">
          <cell r="B52" t="str">
            <v>Main Panel</v>
          </cell>
        </row>
      </sheetData>
      <sheetData sheetId="1231">
        <row r="52">
          <cell r="B52" t="str">
            <v>Main Panel</v>
          </cell>
        </row>
      </sheetData>
      <sheetData sheetId="1232">
        <row r="52">
          <cell r="B52" t="str">
            <v>Main Panel</v>
          </cell>
        </row>
      </sheetData>
      <sheetData sheetId="1233">
        <row r="52">
          <cell r="B52" t="str">
            <v>Main Panel</v>
          </cell>
        </row>
      </sheetData>
      <sheetData sheetId="1234">
        <row r="52">
          <cell r="B52" t="str">
            <v>Main Panel</v>
          </cell>
        </row>
      </sheetData>
      <sheetData sheetId="1235">
        <row r="52">
          <cell r="B52" t="str">
            <v>Main Panel</v>
          </cell>
        </row>
      </sheetData>
      <sheetData sheetId="1236">
        <row r="52">
          <cell r="B52" t="str">
            <v>Main Panel</v>
          </cell>
        </row>
      </sheetData>
      <sheetData sheetId="1237">
        <row r="52">
          <cell r="B52" t="str">
            <v>Main Panel</v>
          </cell>
        </row>
      </sheetData>
      <sheetData sheetId="1238">
        <row r="52">
          <cell r="B52" t="str">
            <v>Main Panel</v>
          </cell>
        </row>
      </sheetData>
      <sheetData sheetId="1239">
        <row r="52">
          <cell r="B52" t="str">
            <v>Main Panel</v>
          </cell>
        </row>
      </sheetData>
      <sheetData sheetId="1240">
        <row r="52">
          <cell r="B52" t="str">
            <v>Main Panel</v>
          </cell>
        </row>
      </sheetData>
      <sheetData sheetId="1241">
        <row r="52">
          <cell r="B52" t="str">
            <v>Main Panel</v>
          </cell>
        </row>
      </sheetData>
      <sheetData sheetId="1242">
        <row r="52">
          <cell r="B52" t="str">
            <v>Main Panel</v>
          </cell>
        </row>
      </sheetData>
      <sheetData sheetId="1243">
        <row r="52">
          <cell r="B52" t="str">
            <v>Main Panel</v>
          </cell>
        </row>
      </sheetData>
      <sheetData sheetId="1244">
        <row r="52">
          <cell r="B52" t="str">
            <v>Main Panel</v>
          </cell>
        </row>
      </sheetData>
      <sheetData sheetId="1245">
        <row r="52">
          <cell r="B52" t="str">
            <v>Main Panel</v>
          </cell>
        </row>
      </sheetData>
      <sheetData sheetId="1246">
        <row r="52">
          <cell r="B52" t="str">
            <v>Main Panel</v>
          </cell>
        </row>
      </sheetData>
      <sheetData sheetId="1247">
        <row r="52">
          <cell r="B52" t="str">
            <v>Main Panel</v>
          </cell>
        </row>
      </sheetData>
      <sheetData sheetId="1248">
        <row r="52">
          <cell r="B52" t="str">
            <v>Main Panel</v>
          </cell>
        </row>
      </sheetData>
      <sheetData sheetId="1249">
        <row r="52">
          <cell r="B52" t="str">
            <v>Main Panel</v>
          </cell>
        </row>
      </sheetData>
      <sheetData sheetId="1250">
        <row r="52">
          <cell r="B52" t="str">
            <v>Main Panel</v>
          </cell>
        </row>
      </sheetData>
      <sheetData sheetId="1251">
        <row r="52">
          <cell r="B52" t="str">
            <v>Main Panel</v>
          </cell>
        </row>
      </sheetData>
      <sheetData sheetId="1252">
        <row r="52">
          <cell r="B52" t="str">
            <v>Main Panel</v>
          </cell>
        </row>
      </sheetData>
      <sheetData sheetId="1253">
        <row r="52">
          <cell r="B52" t="str">
            <v>Main Panel</v>
          </cell>
        </row>
      </sheetData>
      <sheetData sheetId="1254">
        <row r="52">
          <cell r="B52" t="str">
            <v>Main Panel</v>
          </cell>
        </row>
      </sheetData>
      <sheetData sheetId="1255">
        <row r="52">
          <cell r="B52" t="str">
            <v>Main Panel</v>
          </cell>
        </row>
      </sheetData>
      <sheetData sheetId="1256">
        <row r="52">
          <cell r="B52" t="str">
            <v>Main Panel</v>
          </cell>
        </row>
      </sheetData>
      <sheetData sheetId="1257">
        <row r="52">
          <cell r="B52" t="str">
            <v>Main Panel</v>
          </cell>
        </row>
      </sheetData>
      <sheetData sheetId="1258">
        <row r="52">
          <cell r="B52" t="str">
            <v>Main Panel</v>
          </cell>
        </row>
      </sheetData>
      <sheetData sheetId="1259">
        <row r="52">
          <cell r="B52" t="str">
            <v>Main Panel</v>
          </cell>
        </row>
      </sheetData>
      <sheetData sheetId="1260">
        <row r="52">
          <cell r="B52" t="str">
            <v>Main Panel</v>
          </cell>
        </row>
      </sheetData>
      <sheetData sheetId="1261">
        <row r="52">
          <cell r="B52" t="str">
            <v>Main Panel</v>
          </cell>
        </row>
      </sheetData>
      <sheetData sheetId="1262">
        <row r="52">
          <cell r="B52" t="str">
            <v>Main Panel</v>
          </cell>
        </row>
      </sheetData>
      <sheetData sheetId="1263">
        <row r="52">
          <cell r="B52" t="str">
            <v>Main Panel</v>
          </cell>
        </row>
      </sheetData>
      <sheetData sheetId="1264">
        <row r="52">
          <cell r="B52" t="str">
            <v>Main Panel</v>
          </cell>
        </row>
      </sheetData>
      <sheetData sheetId="1265">
        <row r="52">
          <cell r="B52" t="str">
            <v>Main Panel</v>
          </cell>
        </row>
      </sheetData>
      <sheetData sheetId="1266">
        <row r="52">
          <cell r="B52" t="str">
            <v>Main Panel</v>
          </cell>
        </row>
      </sheetData>
      <sheetData sheetId="1267">
        <row r="52">
          <cell r="B52" t="str">
            <v>Main Panel</v>
          </cell>
        </row>
      </sheetData>
      <sheetData sheetId="1268">
        <row r="52">
          <cell r="B52" t="str">
            <v>Main Panel</v>
          </cell>
        </row>
      </sheetData>
      <sheetData sheetId="1269">
        <row r="52">
          <cell r="B52" t="str">
            <v>Main Panel</v>
          </cell>
        </row>
      </sheetData>
      <sheetData sheetId="1270">
        <row r="52">
          <cell r="B52" t="str">
            <v>Main Panel</v>
          </cell>
        </row>
      </sheetData>
      <sheetData sheetId="1271">
        <row r="52">
          <cell r="B52" t="str">
            <v>Main Panel</v>
          </cell>
        </row>
      </sheetData>
      <sheetData sheetId="1272">
        <row r="52">
          <cell r="B52" t="str">
            <v>Main Panel</v>
          </cell>
        </row>
      </sheetData>
      <sheetData sheetId="1273">
        <row r="52">
          <cell r="B52" t="str">
            <v>Main Panel</v>
          </cell>
        </row>
      </sheetData>
      <sheetData sheetId="1274">
        <row r="52">
          <cell r="B52" t="str">
            <v>Main Panel</v>
          </cell>
        </row>
      </sheetData>
      <sheetData sheetId="1275">
        <row r="52">
          <cell r="B52" t="str">
            <v>Main Panel</v>
          </cell>
        </row>
      </sheetData>
      <sheetData sheetId="1276">
        <row r="52">
          <cell r="B52" t="str">
            <v>Main Panel</v>
          </cell>
        </row>
      </sheetData>
      <sheetData sheetId="1277">
        <row r="52">
          <cell r="B52" t="str">
            <v>Main Panel</v>
          </cell>
        </row>
      </sheetData>
      <sheetData sheetId="1278">
        <row r="52">
          <cell r="B52" t="str">
            <v>Main Panel</v>
          </cell>
        </row>
      </sheetData>
      <sheetData sheetId="1279">
        <row r="52">
          <cell r="B52" t="str">
            <v>Main Panel</v>
          </cell>
        </row>
      </sheetData>
      <sheetData sheetId="1280">
        <row r="52">
          <cell r="B52" t="str">
            <v>Main Panel</v>
          </cell>
        </row>
      </sheetData>
      <sheetData sheetId="1281">
        <row r="52">
          <cell r="B52" t="str">
            <v>Main Panel</v>
          </cell>
        </row>
      </sheetData>
      <sheetData sheetId="1282">
        <row r="52">
          <cell r="B52" t="str">
            <v>Main Panel</v>
          </cell>
        </row>
      </sheetData>
      <sheetData sheetId="1283">
        <row r="52">
          <cell r="B52" t="str">
            <v>Main Panel</v>
          </cell>
        </row>
      </sheetData>
      <sheetData sheetId="1284">
        <row r="52">
          <cell r="B52" t="str">
            <v>Main Panel</v>
          </cell>
        </row>
      </sheetData>
      <sheetData sheetId="1285">
        <row r="52">
          <cell r="B52" t="str">
            <v>Main Panel</v>
          </cell>
        </row>
      </sheetData>
      <sheetData sheetId="1286">
        <row r="52">
          <cell r="B52" t="str">
            <v>Main Panel</v>
          </cell>
        </row>
      </sheetData>
      <sheetData sheetId="1287">
        <row r="52">
          <cell r="B52" t="str">
            <v>Main Panel</v>
          </cell>
        </row>
      </sheetData>
      <sheetData sheetId="1288">
        <row r="52">
          <cell r="B52" t="str">
            <v>Main Panel</v>
          </cell>
        </row>
      </sheetData>
      <sheetData sheetId="1289">
        <row r="52">
          <cell r="B52" t="str">
            <v>Main Panel</v>
          </cell>
        </row>
      </sheetData>
      <sheetData sheetId="1290">
        <row r="52">
          <cell r="B52" t="str">
            <v>Main Panel</v>
          </cell>
        </row>
      </sheetData>
      <sheetData sheetId="1291">
        <row r="52">
          <cell r="B52" t="str">
            <v>Main Panel</v>
          </cell>
        </row>
      </sheetData>
      <sheetData sheetId="1292">
        <row r="52">
          <cell r="B52" t="str">
            <v>Main Panel</v>
          </cell>
        </row>
      </sheetData>
      <sheetData sheetId="1293">
        <row r="52">
          <cell r="B52" t="str">
            <v>Main Panel</v>
          </cell>
        </row>
      </sheetData>
      <sheetData sheetId="1294">
        <row r="52">
          <cell r="B52" t="str">
            <v>Main Panel</v>
          </cell>
        </row>
      </sheetData>
      <sheetData sheetId="1295">
        <row r="52">
          <cell r="B52" t="str">
            <v>Main Panel</v>
          </cell>
        </row>
      </sheetData>
      <sheetData sheetId="1296">
        <row r="52">
          <cell r="B52" t="str">
            <v>Main Panel</v>
          </cell>
        </row>
      </sheetData>
      <sheetData sheetId="1297">
        <row r="52">
          <cell r="B52" t="str">
            <v>Main Panel</v>
          </cell>
        </row>
      </sheetData>
      <sheetData sheetId="1298">
        <row r="52">
          <cell r="B52" t="str">
            <v>Main Panel</v>
          </cell>
        </row>
      </sheetData>
      <sheetData sheetId="1299">
        <row r="52">
          <cell r="B52" t="str">
            <v>Main Panel</v>
          </cell>
        </row>
      </sheetData>
      <sheetData sheetId="1300">
        <row r="52">
          <cell r="B52" t="str">
            <v>Main Panel</v>
          </cell>
        </row>
      </sheetData>
      <sheetData sheetId="1301">
        <row r="52">
          <cell r="B52" t="str">
            <v>Main Panel</v>
          </cell>
        </row>
      </sheetData>
      <sheetData sheetId="1302">
        <row r="52">
          <cell r="B52" t="str">
            <v>Main Panel</v>
          </cell>
        </row>
      </sheetData>
      <sheetData sheetId="1303">
        <row r="52">
          <cell r="B52" t="str">
            <v>Main Panel</v>
          </cell>
        </row>
      </sheetData>
      <sheetData sheetId="1304">
        <row r="52">
          <cell r="B52" t="str">
            <v>Main Panel</v>
          </cell>
        </row>
      </sheetData>
      <sheetData sheetId="1305">
        <row r="52">
          <cell r="B52" t="str">
            <v>Main Panel</v>
          </cell>
        </row>
      </sheetData>
      <sheetData sheetId="1306">
        <row r="52">
          <cell r="B52" t="str">
            <v>Main Panel</v>
          </cell>
        </row>
      </sheetData>
      <sheetData sheetId="1307">
        <row r="52">
          <cell r="B52" t="str">
            <v>Main Panel</v>
          </cell>
        </row>
      </sheetData>
      <sheetData sheetId="1308">
        <row r="52">
          <cell r="B52" t="str">
            <v>Main Panel</v>
          </cell>
        </row>
      </sheetData>
      <sheetData sheetId="1309">
        <row r="52">
          <cell r="B52" t="str">
            <v>Main Panel</v>
          </cell>
        </row>
      </sheetData>
      <sheetData sheetId="1310">
        <row r="52">
          <cell r="B52" t="str">
            <v>Main Panel</v>
          </cell>
        </row>
      </sheetData>
      <sheetData sheetId="1311">
        <row r="52">
          <cell r="B52" t="str">
            <v>Main Panel</v>
          </cell>
        </row>
      </sheetData>
      <sheetData sheetId="1312">
        <row r="52">
          <cell r="B52" t="str">
            <v>Main Panel</v>
          </cell>
        </row>
      </sheetData>
      <sheetData sheetId="1313">
        <row r="52">
          <cell r="B52" t="str">
            <v>Main Panel</v>
          </cell>
        </row>
      </sheetData>
      <sheetData sheetId="1314">
        <row r="52">
          <cell r="B52" t="str">
            <v>Main Panel</v>
          </cell>
        </row>
      </sheetData>
      <sheetData sheetId="1315">
        <row r="52">
          <cell r="B52" t="str">
            <v>Main Panel</v>
          </cell>
        </row>
      </sheetData>
      <sheetData sheetId="1316">
        <row r="52">
          <cell r="B52" t="str">
            <v>Main Panel</v>
          </cell>
        </row>
      </sheetData>
      <sheetData sheetId="1317">
        <row r="52">
          <cell r="B52" t="str">
            <v>Main Panel</v>
          </cell>
        </row>
      </sheetData>
      <sheetData sheetId="1318">
        <row r="52">
          <cell r="B52" t="str">
            <v>Main Panel</v>
          </cell>
        </row>
      </sheetData>
      <sheetData sheetId="1319">
        <row r="52">
          <cell r="B52" t="str">
            <v>Main Panel</v>
          </cell>
        </row>
      </sheetData>
      <sheetData sheetId="1320">
        <row r="52">
          <cell r="B52" t="str">
            <v>Main Panel</v>
          </cell>
        </row>
      </sheetData>
      <sheetData sheetId="1321">
        <row r="52">
          <cell r="B52" t="str">
            <v>Main Panel</v>
          </cell>
        </row>
      </sheetData>
      <sheetData sheetId="1322">
        <row r="52">
          <cell r="B52" t="str">
            <v>Main Panel</v>
          </cell>
        </row>
      </sheetData>
      <sheetData sheetId="1323">
        <row r="52">
          <cell r="B52" t="str">
            <v>Main Panel</v>
          </cell>
        </row>
      </sheetData>
      <sheetData sheetId="1324">
        <row r="52">
          <cell r="B52" t="str">
            <v>Main Panel</v>
          </cell>
        </row>
      </sheetData>
      <sheetData sheetId="1325">
        <row r="52">
          <cell r="B52" t="str">
            <v>Main Panel</v>
          </cell>
        </row>
      </sheetData>
      <sheetData sheetId="1326">
        <row r="52">
          <cell r="B52" t="str">
            <v>Main Panel</v>
          </cell>
        </row>
      </sheetData>
      <sheetData sheetId="1327">
        <row r="52">
          <cell r="B52" t="str">
            <v>Main Panel</v>
          </cell>
        </row>
      </sheetData>
      <sheetData sheetId="1328">
        <row r="52">
          <cell r="B52" t="str">
            <v>Main Panel</v>
          </cell>
        </row>
      </sheetData>
      <sheetData sheetId="1329">
        <row r="52">
          <cell r="B52" t="str">
            <v>Main Panel</v>
          </cell>
        </row>
      </sheetData>
      <sheetData sheetId="1330">
        <row r="52">
          <cell r="B52" t="str">
            <v>Main Panel</v>
          </cell>
        </row>
      </sheetData>
      <sheetData sheetId="1331">
        <row r="52">
          <cell r="B52" t="str">
            <v>Main Panel</v>
          </cell>
        </row>
      </sheetData>
      <sheetData sheetId="1332">
        <row r="52">
          <cell r="B52" t="str">
            <v>Main Panel</v>
          </cell>
        </row>
      </sheetData>
      <sheetData sheetId="1333">
        <row r="52">
          <cell r="B52" t="str">
            <v>Main Panel</v>
          </cell>
        </row>
      </sheetData>
      <sheetData sheetId="1334">
        <row r="52">
          <cell r="B52" t="str">
            <v>Main Panel</v>
          </cell>
        </row>
      </sheetData>
      <sheetData sheetId="1335">
        <row r="52">
          <cell r="B52" t="str">
            <v>Main Panel</v>
          </cell>
        </row>
      </sheetData>
      <sheetData sheetId="1336">
        <row r="52">
          <cell r="B52" t="str">
            <v>Main Panel</v>
          </cell>
        </row>
      </sheetData>
      <sheetData sheetId="1337">
        <row r="52">
          <cell r="B52" t="str">
            <v>Main Panel</v>
          </cell>
        </row>
      </sheetData>
      <sheetData sheetId="1338">
        <row r="52">
          <cell r="B52" t="str">
            <v>Main Panel</v>
          </cell>
        </row>
      </sheetData>
      <sheetData sheetId="1339">
        <row r="52">
          <cell r="B52" t="str">
            <v>Main Panel</v>
          </cell>
        </row>
      </sheetData>
      <sheetData sheetId="1340">
        <row r="52">
          <cell r="B52" t="str">
            <v>Main Panel</v>
          </cell>
        </row>
      </sheetData>
      <sheetData sheetId="1341">
        <row r="52">
          <cell r="B52" t="str">
            <v>Main Panel</v>
          </cell>
        </row>
      </sheetData>
      <sheetData sheetId="1342">
        <row r="52">
          <cell r="B52" t="str">
            <v>Main Panel</v>
          </cell>
        </row>
      </sheetData>
      <sheetData sheetId="1343">
        <row r="52">
          <cell r="B52" t="str">
            <v>Main Panel</v>
          </cell>
        </row>
      </sheetData>
      <sheetData sheetId="1344">
        <row r="52">
          <cell r="B52" t="str">
            <v>Main Panel</v>
          </cell>
        </row>
      </sheetData>
      <sheetData sheetId="1345">
        <row r="52">
          <cell r="B52" t="str">
            <v>Main Panel</v>
          </cell>
        </row>
      </sheetData>
      <sheetData sheetId="1346">
        <row r="52">
          <cell r="B52" t="str">
            <v>Main Panel</v>
          </cell>
        </row>
      </sheetData>
      <sheetData sheetId="1347">
        <row r="52">
          <cell r="B52" t="str">
            <v>Main Panel</v>
          </cell>
        </row>
      </sheetData>
      <sheetData sheetId="1348">
        <row r="52">
          <cell r="B52" t="str">
            <v>Main Panel</v>
          </cell>
        </row>
      </sheetData>
      <sheetData sheetId="1349">
        <row r="52">
          <cell r="B52" t="str">
            <v>Main Panel</v>
          </cell>
        </row>
      </sheetData>
      <sheetData sheetId="1350">
        <row r="52">
          <cell r="B52" t="str">
            <v>Main Panel</v>
          </cell>
        </row>
      </sheetData>
      <sheetData sheetId="1351">
        <row r="52">
          <cell r="B52" t="str">
            <v>Main Panel</v>
          </cell>
        </row>
      </sheetData>
      <sheetData sheetId="1352">
        <row r="52">
          <cell r="B52" t="str">
            <v>Main Panel</v>
          </cell>
        </row>
      </sheetData>
      <sheetData sheetId="1353">
        <row r="52">
          <cell r="B52" t="str">
            <v>Main Panel</v>
          </cell>
        </row>
      </sheetData>
      <sheetData sheetId="1354">
        <row r="52">
          <cell r="B52" t="str">
            <v>Main Panel</v>
          </cell>
        </row>
      </sheetData>
      <sheetData sheetId="1355">
        <row r="52">
          <cell r="B52" t="str">
            <v>Main Panel</v>
          </cell>
        </row>
      </sheetData>
      <sheetData sheetId="1356">
        <row r="52">
          <cell r="B52" t="str">
            <v>Main Panel</v>
          </cell>
        </row>
      </sheetData>
      <sheetData sheetId="1357">
        <row r="52">
          <cell r="B52" t="str">
            <v>Main Panel</v>
          </cell>
        </row>
      </sheetData>
      <sheetData sheetId="1358">
        <row r="52">
          <cell r="B52" t="str">
            <v>Main Panel</v>
          </cell>
        </row>
      </sheetData>
      <sheetData sheetId="1359">
        <row r="52">
          <cell r="B52" t="str">
            <v>Main Panel</v>
          </cell>
        </row>
      </sheetData>
      <sheetData sheetId="1360">
        <row r="52">
          <cell r="B52" t="str">
            <v>Main Panel</v>
          </cell>
        </row>
      </sheetData>
      <sheetData sheetId="1361">
        <row r="52">
          <cell r="B52" t="str">
            <v>Main Panel</v>
          </cell>
        </row>
      </sheetData>
      <sheetData sheetId="1362">
        <row r="52">
          <cell r="B52" t="str">
            <v>Main Panel</v>
          </cell>
        </row>
      </sheetData>
      <sheetData sheetId="1363">
        <row r="52">
          <cell r="B52" t="str">
            <v>Main Panel</v>
          </cell>
        </row>
      </sheetData>
      <sheetData sheetId="1364">
        <row r="52">
          <cell r="B52" t="str">
            <v>Main Panel</v>
          </cell>
        </row>
      </sheetData>
      <sheetData sheetId="1365">
        <row r="52">
          <cell r="B52" t="str">
            <v>Main Panel</v>
          </cell>
        </row>
      </sheetData>
      <sheetData sheetId="1366">
        <row r="52">
          <cell r="B52" t="str">
            <v>Main Panel</v>
          </cell>
        </row>
      </sheetData>
      <sheetData sheetId="1367">
        <row r="52">
          <cell r="B52" t="str">
            <v>Main Panel</v>
          </cell>
        </row>
      </sheetData>
      <sheetData sheetId="1368">
        <row r="52">
          <cell r="B52" t="str">
            <v>Main Panel</v>
          </cell>
        </row>
      </sheetData>
      <sheetData sheetId="1369">
        <row r="52">
          <cell r="B52" t="str">
            <v>Main Panel</v>
          </cell>
        </row>
      </sheetData>
      <sheetData sheetId="1370">
        <row r="52">
          <cell r="B52" t="str">
            <v>Main Panel</v>
          </cell>
        </row>
      </sheetData>
      <sheetData sheetId="1371">
        <row r="52">
          <cell r="B52" t="str">
            <v>Main Panel</v>
          </cell>
        </row>
      </sheetData>
      <sheetData sheetId="1372">
        <row r="52">
          <cell r="B52" t="str">
            <v>Main Panel</v>
          </cell>
        </row>
      </sheetData>
      <sheetData sheetId="1373">
        <row r="52">
          <cell r="B52" t="str">
            <v>Main Panel</v>
          </cell>
        </row>
      </sheetData>
      <sheetData sheetId="1374">
        <row r="52">
          <cell r="B52" t="str">
            <v>Main Panel</v>
          </cell>
        </row>
      </sheetData>
      <sheetData sheetId="1375">
        <row r="52">
          <cell r="B52" t="str">
            <v>Main Panel</v>
          </cell>
        </row>
      </sheetData>
      <sheetData sheetId="1376">
        <row r="52">
          <cell r="B52" t="str">
            <v>Main Panel</v>
          </cell>
        </row>
      </sheetData>
      <sheetData sheetId="1377">
        <row r="52">
          <cell r="B52" t="str">
            <v>Main Panel</v>
          </cell>
        </row>
      </sheetData>
      <sheetData sheetId="1378">
        <row r="52">
          <cell r="B52" t="str">
            <v>Main Panel</v>
          </cell>
        </row>
      </sheetData>
      <sheetData sheetId="1379">
        <row r="52">
          <cell r="B52" t="str">
            <v>Main Panel</v>
          </cell>
        </row>
      </sheetData>
      <sheetData sheetId="1380">
        <row r="52">
          <cell r="B52" t="str">
            <v>Main Panel</v>
          </cell>
        </row>
      </sheetData>
      <sheetData sheetId="1381">
        <row r="52">
          <cell r="B52" t="str">
            <v>Main Panel</v>
          </cell>
        </row>
      </sheetData>
      <sheetData sheetId="1382">
        <row r="52">
          <cell r="B52" t="str">
            <v>Main Panel</v>
          </cell>
        </row>
      </sheetData>
      <sheetData sheetId="1383">
        <row r="52">
          <cell r="B52" t="str">
            <v>Main Panel</v>
          </cell>
        </row>
      </sheetData>
      <sheetData sheetId="1384">
        <row r="52">
          <cell r="B52" t="str">
            <v>Main Panel</v>
          </cell>
        </row>
      </sheetData>
      <sheetData sheetId="1385">
        <row r="52">
          <cell r="B52" t="str">
            <v>Main Panel</v>
          </cell>
        </row>
      </sheetData>
      <sheetData sheetId="1386">
        <row r="52">
          <cell r="B52" t="str">
            <v>Main Panel</v>
          </cell>
        </row>
      </sheetData>
      <sheetData sheetId="1387">
        <row r="52">
          <cell r="B52" t="str">
            <v>Main Panel</v>
          </cell>
        </row>
      </sheetData>
      <sheetData sheetId="1388">
        <row r="52">
          <cell r="B52" t="str">
            <v>Main Panel</v>
          </cell>
        </row>
      </sheetData>
      <sheetData sheetId="1389">
        <row r="52">
          <cell r="B52" t="str">
            <v>Main Panel</v>
          </cell>
        </row>
      </sheetData>
      <sheetData sheetId="1390">
        <row r="52">
          <cell r="B52" t="str">
            <v>Main Panel</v>
          </cell>
        </row>
      </sheetData>
      <sheetData sheetId="1391">
        <row r="52">
          <cell r="B52" t="str">
            <v>Main Panel</v>
          </cell>
        </row>
      </sheetData>
      <sheetData sheetId="1392">
        <row r="52">
          <cell r="B52" t="str">
            <v>Main Panel</v>
          </cell>
        </row>
      </sheetData>
      <sheetData sheetId="1393">
        <row r="52">
          <cell r="B52" t="str">
            <v>Main Panel</v>
          </cell>
        </row>
      </sheetData>
      <sheetData sheetId="1394">
        <row r="52">
          <cell r="B52" t="str">
            <v>Main Panel</v>
          </cell>
        </row>
      </sheetData>
      <sheetData sheetId="1395">
        <row r="52">
          <cell r="B52" t="str">
            <v>Main Panel</v>
          </cell>
        </row>
      </sheetData>
      <sheetData sheetId="1396">
        <row r="52">
          <cell r="B52" t="str">
            <v>Main Panel</v>
          </cell>
        </row>
      </sheetData>
      <sheetData sheetId="1397">
        <row r="52">
          <cell r="B52" t="str">
            <v>Main Panel</v>
          </cell>
        </row>
      </sheetData>
      <sheetData sheetId="1398">
        <row r="52">
          <cell r="B52" t="str">
            <v>Main Panel</v>
          </cell>
        </row>
      </sheetData>
      <sheetData sheetId="1399">
        <row r="52">
          <cell r="B52" t="str">
            <v>Main Panel</v>
          </cell>
        </row>
      </sheetData>
      <sheetData sheetId="1400">
        <row r="52">
          <cell r="B52" t="str">
            <v>Main Panel</v>
          </cell>
        </row>
      </sheetData>
      <sheetData sheetId="1401">
        <row r="52">
          <cell r="B52" t="str">
            <v>Main Panel</v>
          </cell>
        </row>
      </sheetData>
      <sheetData sheetId="1402">
        <row r="52">
          <cell r="B52" t="str">
            <v>Main Panel</v>
          </cell>
        </row>
      </sheetData>
      <sheetData sheetId="1403">
        <row r="52">
          <cell r="B52" t="str">
            <v>Main Panel</v>
          </cell>
        </row>
      </sheetData>
      <sheetData sheetId="1404">
        <row r="52">
          <cell r="B52" t="str">
            <v>Main Panel</v>
          </cell>
        </row>
      </sheetData>
      <sheetData sheetId="1405">
        <row r="52">
          <cell r="B52" t="str">
            <v>Main Panel</v>
          </cell>
        </row>
      </sheetData>
      <sheetData sheetId="1406">
        <row r="52">
          <cell r="B52" t="str">
            <v>Main Panel</v>
          </cell>
        </row>
      </sheetData>
      <sheetData sheetId="1407">
        <row r="52">
          <cell r="B52" t="str">
            <v>Main Panel</v>
          </cell>
        </row>
      </sheetData>
      <sheetData sheetId="1408">
        <row r="52">
          <cell r="B52" t="str">
            <v>Main Panel</v>
          </cell>
        </row>
      </sheetData>
      <sheetData sheetId="1409">
        <row r="52">
          <cell r="B52" t="str">
            <v>Main Panel</v>
          </cell>
        </row>
      </sheetData>
      <sheetData sheetId="1410">
        <row r="52">
          <cell r="B52" t="str">
            <v>Main Panel</v>
          </cell>
        </row>
      </sheetData>
      <sheetData sheetId="1411">
        <row r="52">
          <cell r="B52" t="str">
            <v>Main Panel</v>
          </cell>
        </row>
      </sheetData>
      <sheetData sheetId="1412">
        <row r="52">
          <cell r="B52" t="str">
            <v>Main Panel</v>
          </cell>
        </row>
      </sheetData>
      <sheetData sheetId="1413">
        <row r="52">
          <cell r="B52" t="str">
            <v>Main Panel</v>
          </cell>
        </row>
      </sheetData>
      <sheetData sheetId="1414">
        <row r="52">
          <cell r="B52" t="str">
            <v>Main Panel</v>
          </cell>
        </row>
      </sheetData>
      <sheetData sheetId="1415">
        <row r="52">
          <cell r="B52" t="str">
            <v>Main Panel</v>
          </cell>
        </row>
      </sheetData>
      <sheetData sheetId="1416">
        <row r="52">
          <cell r="B52" t="str">
            <v>Main Panel</v>
          </cell>
        </row>
      </sheetData>
      <sheetData sheetId="1417">
        <row r="52">
          <cell r="B52" t="str">
            <v>Main Panel</v>
          </cell>
        </row>
      </sheetData>
      <sheetData sheetId="1418">
        <row r="52">
          <cell r="B52" t="str">
            <v>Main Panel</v>
          </cell>
        </row>
      </sheetData>
      <sheetData sheetId="1419">
        <row r="52">
          <cell r="B52" t="str">
            <v>Main Panel</v>
          </cell>
        </row>
      </sheetData>
      <sheetData sheetId="1420">
        <row r="52">
          <cell r="B52" t="str">
            <v>Main Panel</v>
          </cell>
        </row>
      </sheetData>
      <sheetData sheetId="1421">
        <row r="52">
          <cell r="B52" t="str">
            <v>Main Panel</v>
          </cell>
        </row>
      </sheetData>
      <sheetData sheetId="1422">
        <row r="52">
          <cell r="B52" t="str">
            <v>Main Panel</v>
          </cell>
        </row>
      </sheetData>
      <sheetData sheetId="1423">
        <row r="52">
          <cell r="B52" t="str">
            <v>Main Panel</v>
          </cell>
        </row>
      </sheetData>
      <sheetData sheetId="1424">
        <row r="52">
          <cell r="B52" t="str">
            <v>Main Panel</v>
          </cell>
        </row>
      </sheetData>
      <sheetData sheetId="1425">
        <row r="52">
          <cell r="B52" t="str">
            <v>Main Panel</v>
          </cell>
        </row>
      </sheetData>
      <sheetData sheetId="1426">
        <row r="52">
          <cell r="B52" t="str">
            <v>Main Panel</v>
          </cell>
        </row>
      </sheetData>
      <sheetData sheetId="1427">
        <row r="52">
          <cell r="B52" t="str">
            <v>Main Panel</v>
          </cell>
        </row>
      </sheetData>
      <sheetData sheetId="1428">
        <row r="52">
          <cell r="B52" t="str">
            <v>Main Panel</v>
          </cell>
        </row>
      </sheetData>
      <sheetData sheetId="1429">
        <row r="52">
          <cell r="B52" t="str">
            <v>Main Panel</v>
          </cell>
        </row>
      </sheetData>
      <sheetData sheetId="1430">
        <row r="52">
          <cell r="B52" t="str">
            <v>Main Panel</v>
          </cell>
        </row>
      </sheetData>
      <sheetData sheetId="1431">
        <row r="52">
          <cell r="B52" t="str">
            <v>Main Panel</v>
          </cell>
        </row>
      </sheetData>
      <sheetData sheetId="1432">
        <row r="52">
          <cell r="B52" t="str">
            <v>Main Panel</v>
          </cell>
        </row>
      </sheetData>
      <sheetData sheetId="1433">
        <row r="52">
          <cell r="B52" t="str">
            <v>Main Panel</v>
          </cell>
        </row>
      </sheetData>
      <sheetData sheetId="1434">
        <row r="52">
          <cell r="B52" t="str">
            <v>Main Panel</v>
          </cell>
        </row>
      </sheetData>
      <sheetData sheetId="1435">
        <row r="52">
          <cell r="B52" t="str">
            <v>Main Panel</v>
          </cell>
        </row>
      </sheetData>
      <sheetData sheetId="1436">
        <row r="52">
          <cell r="B52" t="str">
            <v>Main Panel</v>
          </cell>
        </row>
      </sheetData>
      <sheetData sheetId="1437">
        <row r="52">
          <cell r="B52" t="str">
            <v>Main Panel</v>
          </cell>
        </row>
      </sheetData>
      <sheetData sheetId="1438">
        <row r="52">
          <cell r="B52" t="str">
            <v>Main Panel</v>
          </cell>
        </row>
      </sheetData>
      <sheetData sheetId="1439">
        <row r="52">
          <cell r="B52" t="str">
            <v>Main Panel</v>
          </cell>
        </row>
      </sheetData>
      <sheetData sheetId="1440">
        <row r="52">
          <cell r="B52" t="str">
            <v>Main Panel</v>
          </cell>
        </row>
      </sheetData>
      <sheetData sheetId="1441">
        <row r="52">
          <cell r="B52" t="str">
            <v>Main Panel</v>
          </cell>
        </row>
      </sheetData>
      <sheetData sheetId="1442">
        <row r="52">
          <cell r="B52" t="str">
            <v>Main Panel</v>
          </cell>
        </row>
      </sheetData>
      <sheetData sheetId="1443">
        <row r="52">
          <cell r="B52" t="str">
            <v>Main Panel</v>
          </cell>
        </row>
      </sheetData>
      <sheetData sheetId="1444">
        <row r="52">
          <cell r="B52" t="str">
            <v>Main Panel</v>
          </cell>
        </row>
      </sheetData>
      <sheetData sheetId="1445">
        <row r="52">
          <cell r="B52" t="str">
            <v>Main Panel</v>
          </cell>
        </row>
      </sheetData>
      <sheetData sheetId="1446">
        <row r="52">
          <cell r="B52" t="str">
            <v>Main Panel</v>
          </cell>
        </row>
      </sheetData>
      <sheetData sheetId="1447">
        <row r="52">
          <cell r="B52" t="str">
            <v>Main Panel</v>
          </cell>
        </row>
      </sheetData>
      <sheetData sheetId="1448">
        <row r="52">
          <cell r="B52" t="str">
            <v>Main Panel</v>
          </cell>
        </row>
      </sheetData>
      <sheetData sheetId="1449">
        <row r="52">
          <cell r="B52" t="str">
            <v>Main Panel</v>
          </cell>
        </row>
      </sheetData>
      <sheetData sheetId="1450">
        <row r="52">
          <cell r="B52" t="str">
            <v>Main Panel</v>
          </cell>
        </row>
      </sheetData>
      <sheetData sheetId="1451">
        <row r="52">
          <cell r="B52" t="str">
            <v>Main Panel</v>
          </cell>
        </row>
      </sheetData>
      <sheetData sheetId="1452">
        <row r="52">
          <cell r="B52" t="str">
            <v>Main Panel</v>
          </cell>
        </row>
      </sheetData>
      <sheetData sheetId="1453">
        <row r="52">
          <cell r="B52" t="str">
            <v>Main Panel</v>
          </cell>
        </row>
      </sheetData>
      <sheetData sheetId="1454">
        <row r="52">
          <cell r="B52" t="str">
            <v>Main Panel</v>
          </cell>
        </row>
      </sheetData>
      <sheetData sheetId="1455">
        <row r="52">
          <cell r="B52" t="str">
            <v>Main Panel</v>
          </cell>
        </row>
      </sheetData>
      <sheetData sheetId="1456">
        <row r="52">
          <cell r="B52" t="str">
            <v>Main Panel</v>
          </cell>
        </row>
      </sheetData>
      <sheetData sheetId="1457">
        <row r="52">
          <cell r="B52" t="str">
            <v>Main Panel</v>
          </cell>
        </row>
      </sheetData>
      <sheetData sheetId="1458">
        <row r="52">
          <cell r="B52" t="str">
            <v>Main Panel</v>
          </cell>
        </row>
      </sheetData>
      <sheetData sheetId="1459">
        <row r="52">
          <cell r="B52" t="str">
            <v>Main Panel</v>
          </cell>
        </row>
      </sheetData>
      <sheetData sheetId="1460">
        <row r="52">
          <cell r="B52" t="str">
            <v>Main Panel</v>
          </cell>
        </row>
      </sheetData>
      <sheetData sheetId="1461">
        <row r="52">
          <cell r="B52" t="str">
            <v>Main Panel</v>
          </cell>
        </row>
      </sheetData>
      <sheetData sheetId="1462">
        <row r="52">
          <cell r="B52" t="str">
            <v>Main Panel</v>
          </cell>
        </row>
      </sheetData>
      <sheetData sheetId="1463">
        <row r="52">
          <cell r="B52" t="str">
            <v>Main Panel</v>
          </cell>
        </row>
      </sheetData>
      <sheetData sheetId="1464">
        <row r="52">
          <cell r="B52" t="str">
            <v>Main Panel</v>
          </cell>
        </row>
      </sheetData>
      <sheetData sheetId="1465">
        <row r="52">
          <cell r="B52" t="str">
            <v>Main Panel</v>
          </cell>
        </row>
      </sheetData>
      <sheetData sheetId="1466">
        <row r="52">
          <cell r="B52" t="str">
            <v>Main Panel</v>
          </cell>
        </row>
      </sheetData>
      <sheetData sheetId="1467">
        <row r="52">
          <cell r="B52" t="str">
            <v>Main Panel</v>
          </cell>
        </row>
      </sheetData>
      <sheetData sheetId="1468">
        <row r="52">
          <cell r="B52" t="str">
            <v>Main Panel</v>
          </cell>
        </row>
      </sheetData>
      <sheetData sheetId="1469">
        <row r="52">
          <cell r="B52" t="str">
            <v>Main Panel</v>
          </cell>
        </row>
      </sheetData>
      <sheetData sheetId="1470">
        <row r="52">
          <cell r="B52" t="str">
            <v>Main Panel</v>
          </cell>
        </row>
      </sheetData>
      <sheetData sheetId="1471">
        <row r="52">
          <cell r="B52" t="str">
            <v>Main Panel</v>
          </cell>
        </row>
      </sheetData>
      <sheetData sheetId="1472">
        <row r="52">
          <cell r="B52" t="str">
            <v>Main Panel</v>
          </cell>
        </row>
      </sheetData>
      <sheetData sheetId="1473">
        <row r="52">
          <cell r="B52" t="str">
            <v>Main Panel</v>
          </cell>
        </row>
      </sheetData>
      <sheetData sheetId="1474">
        <row r="52">
          <cell r="B52" t="str">
            <v>Main Panel</v>
          </cell>
        </row>
      </sheetData>
      <sheetData sheetId="1475">
        <row r="52">
          <cell r="B52" t="str">
            <v>Main Panel</v>
          </cell>
        </row>
      </sheetData>
      <sheetData sheetId="1476">
        <row r="52">
          <cell r="B52" t="str">
            <v>Main Panel</v>
          </cell>
        </row>
      </sheetData>
      <sheetData sheetId="1477">
        <row r="52">
          <cell r="B52" t="str">
            <v>Main Panel</v>
          </cell>
        </row>
      </sheetData>
      <sheetData sheetId="1478">
        <row r="52">
          <cell r="B52" t="str">
            <v>Main Panel</v>
          </cell>
        </row>
      </sheetData>
      <sheetData sheetId="1479">
        <row r="52">
          <cell r="B52" t="str">
            <v>Main Panel</v>
          </cell>
        </row>
      </sheetData>
      <sheetData sheetId="1480">
        <row r="52">
          <cell r="B52" t="str">
            <v>Main Panel</v>
          </cell>
        </row>
      </sheetData>
      <sheetData sheetId="1481">
        <row r="52">
          <cell r="B52" t="str">
            <v>Main Panel</v>
          </cell>
        </row>
      </sheetData>
      <sheetData sheetId="1482">
        <row r="52">
          <cell r="B52" t="str">
            <v>Main Panel</v>
          </cell>
        </row>
      </sheetData>
      <sheetData sheetId="1483">
        <row r="52">
          <cell r="B52" t="str">
            <v>Main Panel</v>
          </cell>
        </row>
      </sheetData>
      <sheetData sheetId="1484">
        <row r="52">
          <cell r="B52" t="str">
            <v>Main Panel</v>
          </cell>
        </row>
      </sheetData>
      <sheetData sheetId="1485">
        <row r="52">
          <cell r="B52" t="str">
            <v>Main Panel</v>
          </cell>
        </row>
      </sheetData>
      <sheetData sheetId="1486">
        <row r="52">
          <cell r="B52" t="str">
            <v>Main Panel</v>
          </cell>
        </row>
      </sheetData>
      <sheetData sheetId="1487">
        <row r="52">
          <cell r="B52" t="str">
            <v>Main Panel</v>
          </cell>
        </row>
      </sheetData>
      <sheetData sheetId="1488">
        <row r="52">
          <cell r="B52" t="str">
            <v>Main Panel</v>
          </cell>
        </row>
      </sheetData>
      <sheetData sheetId="1489">
        <row r="52">
          <cell r="B52" t="str">
            <v>Main Panel</v>
          </cell>
        </row>
      </sheetData>
      <sheetData sheetId="1490">
        <row r="52">
          <cell r="B52" t="str">
            <v>Main Panel</v>
          </cell>
        </row>
      </sheetData>
      <sheetData sheetId="1491">
        <row r="52">
          <cell r="B52" t="str">
            <v>Main Panel</v>
          </cell>
        </row>
      </sheetData>
      <sheetData sheetId="1492">
        <row r="52">
          <cell r="B52" t="str">
            <v>Main Panel</v>
          </cell>
        </row>
      </sheetData>
      <sheetData sheetId="1493">
        <row r="52">
          <cell r="B52" t="str">
            <v>Main Panel</v>
          </cell>
        </row>
      </sheetData>
      <sheetData sheetId="1494">
        <row r="52">
          <cell r="B52" t="str">
            <v>Main Panel</v>
          </cell>
        </row>
      </sheetData>
      <sheetData sheetId="1495">
        <row r="52">
          <cell r="B52" t="str">
            <v>Main Panel</v>
          </cell>
        </row>
      </sheetData>
      <sheetData sheetId="1496">
        <row r="52">
          <cell r="B52" t="str">
            <v>Main Panel</v>
          </cell>
        </row>
      </sheetData>
      <sheetData sheetId="1497">
        <row r="52">
          <cell r="B52" t="str">
            <v>Main Panel</v>
          </cell>
        </row>
      </sheetData>
      <sheetData sheetId="1498">
        <row r="52">
          <cell r="B52" t="str">
            <v>Main Panel</v>
          </cell>
        </row>
      </sheetData>
      <sheetData sheetId="1499">
        <row r="52">
          <cell r="B52" t="str">
            <v>Main Panel</v>
          </cell>
        </row>
      </sheetData>
      <sheetData sheetId="1500">
        <row r="52">
          <cell r="B52" t="str">
            <v>Main Panel</v>
          </cell>
        </row>
      </sheetData>
      <sheetData sheetId="1501">
        <row r="52">
          <cell r="B52" t="str">
            <v>Main Panel</v>
          </cell>
        </row>
      </sheetData>
      <sheetData sheetId="1502">
        <row r="52">
          <cell r="B52" t="str">
            <v>Main Panel</v>
          </cell>
        </row>
      </sheetData>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row r="52">
          <cell r="B52" t="str">
            <v>Main Panel</v>
          </cell>
        </row>
      </sheetData>
      <sheetData sheetId="1531">
        <row r="52">
          <cell r="B52" t="str">
            <v>Main Panel</v>
          </cell>
        </row>
      </sheetData>
      <sheetData sheetId="1532">
        <row r="52">
          <cell r="B52" t="str">
            <v>Main Panel</v>
          </cell>
        </row>
      </sheetData>
      <sheetData sheetId="1533">
        <row r="52">
          <cell r="B52" t="str">
            <v>Main Panel</v>
          </cell>
        </row>
      </sheetData>
      <sheetData sheetId="1534">
        <row r="52">
          <cell r="B52" t="str">
            <v>Main Panel</v>
          </cell>
        </row>
      </sheetData>
      <sheetData sheetId="1535">
        <row r="52">
          <cell r="B52" t="str">
            <v>Main Panel</v>
          </cell>
        </row>
      </sheetData>
      <sheetData sheetId="1536">
        <row r="52">
          <cell r="B52" t="str">
            <v>Main Panel</v>
          </cell>
        </row>
      </sheetData>
      <sheetData sheetId="1537">
        <row r="52">
          <cell r="B52" t="str">
            <v>Main Panel</v>
          </cell>
        </row>
      </sheetData>
      <sheetData sheetId="1538">
        <row r="52">
          <cell r="B52" t="str">
            <v>Main Panel</v>
          </cell>
        </row>
      </sheetData>
      <sheetData sheetId="1539">
        <row r="52">
          <cell r="B52" t="str">
            <v>Main Panel</v>
          </cell>
        </row>
      </sheetData>
      <sheetData sheetId="1540">
        <row r="52">
          <cell r="B52" t="str">
            <v>Main Panel</v>
          </cell>
        </row>
      </sheetData>
      <sheetData sheetId="1541">
        <row r="52">
          <cell r="B52" t="str">
            <v>Main Panel</v>
          </cell>
        </row>
      </sheetData>
      <sheetData sheetId="1542">
        <row r="52">
          <cell r="B52" t="str">
            <v>Main Panel</v>
          </cell>
        </row>
      </sheetData>
      <sheetData sheetId="1543">
        <row r="52">
          <cell r="B52" t="str">
            <v>Main Panel</v>
          </cell>
        </row>
      </sheetData>
      <sheetData sheetId="1544">
        <row r="52">
          <cell r="B52" t="str">
            <v>Main Panel</v>
          </cell>
        </row>
      </sheetData>
      <sheetData sheetId="1545">
        <row r="52">
          <cell r="B52" t="str">
            <v>Main Panel</v>
          </cell>
        </row>
      </sheetData>
      <sheetData sheetId="1546">
        <row r="52">
          <cell r="B52" t="str">
            <v>Main Panel</v>
          </cell>
        </row>
      </sheetData>
      <sheetData sheetId="1547">
        <row r="52">
          <cell r="B52" t="str">
            <v>Main Panel</v>
          </cell>
        </row>
      </sheetData>
      <sheetData sheetId="1548">
        <row r="52">
          <cell r="B52" t="str">
            <v>Main Panel</v>
          </cell>
        </row>
      </sheetData>
      <sheetData sheetId="1549">
        <row r="52">
          <cell r="B52" t="str">
            <v>Main Panel</v>
          </cell>
        </row>
      </sheetData>
      <sheetData sheetId="1550">
        <row r="52">
          <cell r="B52" t="str">
            <v>Main Panel</v>
          </cell>
        </row>
      </sheetData>
      <sheetData sheetId="1551">
        <row r="52">
          <cell r="B52" t="str">
            <v>Main Panel</v>
          </cell>
        </row>
      </sheetData>
      <sheetData sheetId="1552">
        <row r="52">
          <cell r="B52" t="str">
            <v>Main Panel</v>
          </cell>
        </row>
      </sheetData>
      <sheetData sheetId="1553">
        <row r="52">
          <cell r="B52" t="str">
            <v>Main Panel</v>
          </cell>
        </row>
      </sheetData>
      <sheetData sheetId="1554">
        <row r="52">
          <cell r="B52" t="str">
            <v>Main Panel</v>
          </cell>
        </row>
      </sheetData>
      <sheetData sheetId="1555">
        <row r="52">
          <cell r="B52" t="str">
            <v>Main Panel</v>
          </cell>
        </row>
      </sheetData>
      <sheetData sheetId="1556">
        <row r="52">
          <cell r="B52" t="str">
            <v>Main Panel</v>
          </cell>
        </row>
      </sheetData>
      <sheetData sheetId="1557">
        <row r="52">
          <cell r="B52" t="str">
            <v>Main Panel</v>
          </cell>
        </row>
      </sheetData>
      <sheetData sheetId="1558">
        <row r="52">
          <cell r="B52" t="str">
            <v>Main Panel</v>
          </cell>
        </row>
      </sheetData>
      <sheetData sheetId="1559">
        <row r="52">
          <cell r="B52" t="str">
            <v>Main Panel</v>
          </cell>
        </row>
      </sheetData>
      <sheetData sheetId="1560">
        <row r="52">
          <cell r="B52" t="str">
            <v>Main Panel</v>
          </cell>
        </row>
      </sheetData>
      <sheetData sheetId="1561">
        <row r="52">
          <cell r="B52" t="str">
            <v>Main Panel</v>
          </cell>
        </row>
      </sheetData>
      <sheetData sheetId="1562">
        <row r="52">
          <cell r="B52" t="str">
            <v>Main Panel</v>
          </cell>
        </row>
      </sheetData>
      <sheetData sheetId="1563">
        <row r="52">
          <cell r="B52" t="str">
            <v>Main Panel</v>
          </cell>
        </row>
      </sheetData>
      <sheetData sheetId="1564">
        <row r="52">
          <cell r="B52" t="str">
            <v>Main Panel</v>
          </cell>
        </row>
      </sheetData>
      <sheetData sheetId="1565">
        <row r="52">
          <cell r="B52" t="str">
            <v>Main Panel</v>
          </cell>
        </row>
      </sheetData>
      <sheetData sheetId="1566">
        <row r="52">
          <cell r="B52" t="str">
            <v>Main Panel</v>
          </cell>
        </row>
      </sheetData>
      <sheetData sheetId="1567">
        <row r="52">
          <cell r="B52" t="str">
            <v>Main Panel</v>
          </cell>
        </row>
      </sheetData>
      <sheetData sheetId="1568">
        <row r="52">
          <cell r="B52" t="str">
            <v>Main Panel</v>
          </cell>
        </row>
      </sheetData>
      <sheetData sheetId="1569">
        <row r="52">
          <cell r="B52" t="str">
            <v>Main Panel</v>
          </cell>
        </row>
      </sheetData>
      <sheetData sheetId="1570">
        <row r="52">
          <cell r="B52" t="str">
            <v>Main Panel</v>
          </cell>
        </row>
      </sheetData>
      <sheetData sheetId="1571">
        <row r="52">
          <cell r="B52" t="str">
            <v>Main Panel</v>
          </cell>
        </row>
      </sheetData>
      <sheetData sheetId="1572">
        <row r="52">
          <cell r="B52" t="str">
            <v>Main Panel</v>
          </cell>
        </row>
      </sheetData>
      <sheetData sheetId="1573">
        <row r="52">
          <cell r="B52" t="str">
            <v>Main Panel</v>
          </cell>
        </row>
      </sheetData>
      <sheetData sheetId="1574">
        <row r="52">
          <cell r="B52" t="str">
            <v>Main Panel</v>
          </cell>
        </row>
      </sheetData>
      <sheetData sheetId="1575">
        <row r="52">
          <cell r="B52" t="str">
            <v>Main Panel</v>
          </cell>
        </row>
      </sheetData>
      <sheetData sheetId="1576">
        <row r="52">
          <cell r="B52" t="str">
            <v>Main Panel</v>
          </cell>
        </row>
      </sheetData>
      <sheetData sheetId="1577">
        <row r="52">
          <cell r="B52" t="str">
            <v>Main Panel</v>
          </cell>
        </row>
      </sheetData>
      <sheetData sheetId="1578">
        <row r="52">
          <cell r="B52" t="str">
            <v>Main Panel</v>
          </cell>
        </row>
      </sheetData>
      <sheetData sheetId="1579">
        <row r="52">
          <cell r="B52" t="str">
            <v>Main Panel</v>
          </cell>
        </row>
      </sheetData>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row r="52">
          <cell r="B52" t="str">
            <v>Main Panel</v>
          </cell>
        </row>
      </sheetData>
      <sheetData sheetId="1608">
        <row r="52">
          <cell r="B52" t="str">
            <v>Main Panel</v>
          </cell>
        </row>
      </sheetData>
      <sheetData sheetId="1609">
        <row r="52">
          <cell r="B52" t="str">
            <v>Main Panel</v>
          </cell>
        </row>
      </sheetData>
      <sheetData sheetId="1610">
        <row r="52">
          <cell r="B52" t="str">
            <v>Main Panel</v>
          </cell>
        </row>
      </sheetData>
      <sheetData sheetId="1611">
        <row r="52">
          <cell r="B52" t="str">
            <v>Main Panel</v>
          </cell>
        </row>
      </sheetData>
      <sheetData sheetId="1612">
        <row r="52">
          <cell r="B52" t="str">
            <v>Main Panel</v>
          </cell>
        </row>
      </sheetData>
      <sheetData sheetId="1613">
        <row r="52">
          <cell r="B52" t="str">
            <v>Main Panel</v>
          </cell>
        </row>
      </sheetData>
      <sheetData sheetId="1614">
        <row r="52">
          <cell r="B52" t="str">
            <v>Main Panel</v>
          </cell>
        </row>
      </sheetData>
      <sheetData sheetId="1615">
        <row r="52">
          <cell r="B52" t="str">
            <v>Main Panel</v>
          </cell>
        </row>
      </sheetData>
      <sheetData sheetId="1616">
        <row r="52">
          <cell r="B52" t="str">
            <v>Main Panel</v>
          </cell>
        </row>
      </sheetData>
      <sheetData sheetId="1617">
        <row r="52">
          <cell r="B52" t="str">
            <v>Main Panel</v>
          </cell>
        </row>
      </sheetData>
      <sheetData sheetId="1618">
        <row r="52">
          <cell r="B52" t="str">
            <v>Main Panel</v>
          </cell>
        </row>
      </sheetData>
      <sheetData sheetId="1619">
        <row r="52">
          <cell r="B52" t="str">
            <v>Main Panel</v>
          </cell>
        </row>
      </sheetData>
      <sheetData sheetId="1620">
        <row r="52">
          <cell r="B52" t="str">
            <v>Main Panel</v>
          </cell>
        </row>
      </sheetData>
      <sheetData sheetId="1621">
        <row r="52">
          <cell r="B52" t="str">
            <v>Main Panel</v>
          </cell>
        </row>
      </sheetData>
      <sheetData sheetId="1622">
        <row r="52">
          <cell r="B52" t="str">
            <v>Main Panel</v>
          </cell>
        </row>
      </sheetData>
      <sheetData sheetId="1623">
        <row r="52">
          <cell r="B52" t="str">
            <v>Main Panel</v>
          </cell>
        </row>
      </sheetData>
      <sheetData sheetId="1624">
        <row r="52">
          <cell r="B52" t="str">
            <v>Main Panel</v>
          </cell>
        </row>
      </sheetData>
      <sheetData sheetId="1625">
        <row r="52">
          <cell r="B52" t="str">
            <v>Main Panel</v>
          </cell>
        </row>
      </sheetData>
      <sheetData sheetId="1626">
        <row r="52">
          <cell r="B52" t="str">
            <v>Main Panel</v>
          </cell>
        </row>
      </sheetData>
      <sheetData sheetId="1627">
        <row r="52">
          <cell r="B52" t="str">
            <v>Main Panel</v>
          </cell>
        </row>
      </sheetData>
      <sheetData sheetId="1628">
        <row r="52">
          <cell r="B52" t="str">
            <v>Main Panel</v>
          </cell>
        </row>
      </sheetData>
      <sheetData sheetId="1629">
        <row r="52">
          <cell r="B52" t="str">
            <v>Main Panel</v>
          </cell>
        </row>
      </sheetData>
      <sheetData sheetId="1630">
        <row r="52">
          <cell r="B52" t="str">
            <v>Main Panel</v>
          </cell>
        </row>
      </sheetData>
      <sheetData sheetId="1631">
        <row r="52">
          <cell r="B52" t="str">
            <v>Main Panel</v>
          </cell>
        </row>
      </sheetData>
      <sheetData sheetId="1632">
        <row r="52">
          <cell r="B52" t="str">
            <v>Main Panel</v>
          </cell>
        </row>
      </sheetData>
      <sheetData sheetId="1633">
        <row r="52">
          <cell r="B52" t="str">
            <v>Main Panel</v>
          </cell>
        </row>
      </sheetData>
      <sheetData sheetId="1634">
        <row r="52">
          <cell r="B52" t="str">
            <v>Main Panel</v>
          </cell>
        </row>
      </sheetData>
      <sheetData sheetId="1635">
        <row r="52">
          <cell r="B52" t="str">
            <v>Main Panel</v>
          </cell>
        </row>
      </sheetData>
      <sheetData sheetId="1636">
        <row r="52">
          <cell r="B52" t="str">
            <v>Main Panel</v>
          </cell>
        </row>
      </sheetData>
      <sheetData sheetId="1637">
        <row r="52">
          <cell r="B52" t="str">
            <v>Main Panel</v>
          </cell>
        </row>
      </sheetData>
      <sheetData sheetId="1638">
        <row r="52">
          <cell r="B52" t="str">
            <v>Main Panel</v>
          </cell>
        </row>
      </sheetData>
      <sheetData sheetId="1639">
        <row r="52">
          <cell r="B52" t="str">
            <v>Main Panel</v>
          </cell>
        </row>
      </sheetData>
      <sheetData sheetId="1640">
        <row r="52">
          <cell r="B52" t="str">
            <v>Main Panel</v>
          </cell>
        </row>
      </sheetData>
      <sheetData sheetId="1641">
        <row r="52">
          <cell r="B52" t="str">
            <v>Main Panel</v>
          </cell>
        </row>
      </sheetData>
      <sheetData sheetId="1642">
        <row r="52">
          <cell r="B52" t="str">
            <v>Main Panel</v>
          </cell>
        </row>
      </sheetData>
      <sheetData sheetId="1643">
        <row r="52">
          <cell r="B52" t="str">
            <v>Main Panel</v>
          </cell>
        </row>
      </sheetData>
      <sheetData sheetId="1644">
        <row r="52">
          <cell r="B52" t="str">
            <v>Main Panel</v>
          </cell>
        </row>
      </sheetData>
      <sheetData sheetId="1645">
        <row r="52">
          <cell r="B52" t="str">
            <v>Main Panel</v>
          </cell>
        </row>
      </sheetData>
      <sheetData sheetId="1646">
        <row r="52">
          <cell r="B52" t="str">
            <v>Main Panel</v>
          </cell>
        </row>
      </sheetData>
      <sheetData sheetId="1647">
        <row r="52">
          <cell r="B52" t="str">
            <v>Main Panel</v>
          </cell>
        </row>
      </sheetData>
      <sheetData sheetId="1648">
        <row r="52">
          <cell r="B52" t="str">
            <v>Main Panel</v>
          </cell>
        </row>
      </sheetData>
      <sheetData sheetId="1649">
        <row r="52">
          <cell r="B52" t="str">
            <v>Main Panel</v>
          </cell>
        </row>
      </sheetData>
      <sheetData sheetId="1650">
        <row r="52">
          <cell r="B52" t="str">
            <v>Main Panel</v>
          </cell>
        </row>
      </sheetData>
      <sheetData sheetId="1651"/>
      <sheetData sheetId="1652">
        <row r="52">
          <cell r="B52" t="str">
            <v>Main Panel</v>
          </cell>
        </row>
      </sheetData>
      <sheetData sheetId="1653">
        <row r="52">
          <cell r="B52" t="str">
            <v>Main Panel</v>
          </cell>
        </row>
      </sheetData>
      <sheetData sheetId="1654">
        <row r="52">
          <cell r="B52" t="str">
            <v>Main Panel</v>
          </cell>
        </row>
      </sheetData>
      <sheetData sheetId="1655">
        <row r="52">
          <cell r="B52" t="str">
            <v>Main Panel</v>
          </cell>
        </row>
      </sheetData>
      <sheetData sheetId="1656">
        <row r="52">
          <cell r="B52" t="str">
            <v>Main Panel</v>
          </cell>
        </row>
      </sheetData>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refreshError="1"/>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ow r="52">
          <cell r="B52" t="str">
            <v>Main Panel</v>
          </cell>
        </row>
      </sheetData>
      <sheetData sheetId="1915">
        <row r="52">
          <cell r="B52" t="str">
            <v>Main Panel</v>
          </cell>
        </row>
      </sheetData>
      <sheetData sheetId="1916">
        <row r="52">
          <cell r="B52" t="str">
            <v>Main Panel</v>
          </cell>
        </row>
      </sheetData>
      <sheetData sheetId="1917">
        <row r="52">
          <cell r="B52" t="str">
            <v>Main Panel</v>
          </cell>
        </row>
      </sheetData>
      <sheetData sheetId="1918">
        <row r="52">
          <cell r="B52" t="str">
            <v>Main Panel</v>
          </cell>
        </row>
      </sheetData>
      <sheetData sheetId="1919">
        <row r="52">
          <cell r="B52" t="str">
            <v>Main Panel</v>
          </cell>
        </row>
      </sheetData>
      <sheetData sheetId="1920">
        <row r="52">
          <cell r="B52" t="str">
            <v>Main Panel</v>
          </cell>
        </row>
      </sheetData>
      <sheetData sheetId="1921">
        <row r="52">
          <cell r="B52" t="str">
            <v>Main Panel</v>
          </cell>
        </row>
      </sheetData>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ow r="52">
          <cell r="B52" t="str">
            <v>Main Panel</v>
          </cell>
        </row>
      </sheetData>
      <sheetData sheetId="2070">
        <row r="52">
          <cell r="B52" t="str">
            <v>Main Panel</v>
          </cell>
        </row>
      </sheetData>
      <sheetData sheetId="2071">
        <row r="52">
          <cell r="B52" t="str">
            <v>Main Panel</v>
          </cell>
        </row>
      </sheetData>
      <sheetData sheetId="2072">
        <row r="52">
          <cell r="B52" t="str">
            <v>Main Panel</v>
          </cell>
        </row>
      </sheetData>
      <sheetData sheetId="2073">
        <row r="52">
          <cell r="B52" t="str">
            <v>Main Panel</v>
          </cell>
        </row>
      </sheetData>
      <sheetData sheetId="2074">
        <row r="52">
          <cell r="B52" t="str">
            <v>Main Panel</v>
          </cell>
        </row>
      </sheetData>
      <sheetData sheetId="2075">
        <row r="52">
          <cell r="B52" t="str">
            <v>Main Panel</v>
          </cell>
        </row>
      </sheetData>
      <sheetData sheetId="2076">
        <row r="52">
          <cell r="B52" t="str">
            <v>Main Panel</v>
          </cell>
        </row>
      </sheetData>
      <sheetData sheetId="2077">
        <row r="52">
          <cell r="B52" t="str">
            <v>Main Panel</v>
          </cell>
        </row>
      </sheetData>
      <sheetData sheetId="2078">
        <row r="52">
          <cell r="B52" t="str">
            <v>Main Panel</v>
          </cell>
        </row>
      </sheetData>
      <sheetData sheetId="2079">
        <row r="52">
          <cell r="B52" t="str">
            <v>Main Panel</v>
          </cell>
        </row>
      </sheetData>
      <sheetData sheetId="2080">
        <row r="52">
          <cell r="B52" t="str">
            <v>Main Panel</v>
          </cell>
        </row>
      </sheetData>
      <sheetData sheetId="2081">
        <row r="52">
          <cell r="B52" t="str">
            <v>Main Panel</v>
          </cell>
        </row>
      </sheetData>
      <sheetData sheetId="2082">
        <row r="52">
          <cell r="B52" t="str">
            <v>Main Panel</v>
          </cell>
        </row>
      </sheetData>
      <sheetData sheetId="2083">
        <row r="52">
          <cell r="B52" t="str">
            <v>Main Panel</v>
          </cell>
        </row>
      </sheetData>
      <sheetData sheetId="2084">
        <row r="52">
          <cell r="B52" t="str">
            <v>Main Panel</v>
          </cell>
        </row>
      </sheetData>
      <sheetData sheetId="2085">
        <row r="52">
          <cell r="B52" t="str">
            <v>Main Panel</v>
          </cell>
        </row>
      </sheetData>
      <sheetData sheetId="2086">
        <row r="52">
          <cell r="B52" t="str">
            <v>Main Panel</v>
          </cell>
        </row>
      </sheetData>
      <sheetData sheetId="2087">
        <row r="52">
          <cell r="B52" t="str">
            <v>Main Panel</v>
          </cell>
        </row>
      </sheetData>
      <sheetData sheetId="2088">
        <row r="52">
          <cell r="B52" t="str">
            <v>Main Panel</v>
          </cell>
        </row>
      </sheetData>
      <sheetData sheetId="2089">
        <row r="52">
          <cell r="B52" t="str">
            <v>Main Panel</v>
          </cell>
        </row>
      </sheetData>
      <sheetData sheetId="2090">
        <row r="52">
          <cell r="B52" t="str">
            <v>Main Panel</v>
          </cell>
        </row>
      </sheetData>
      <sheetData sheetId="2091">
        <row r="52">
          <cell r="B52" t="str">
            <v>Main Panel</v>
          </cell>
        </row>
      </sheetData>
      <sheetData sheetId="2092">
        <row r="52">
          <cell r="B52" t="str">
            <v>Main Panel</v>
          </cell>
        </row>
      </sheetData>
      <sheetData sheetId="2093">
        <row r="52">
          <cell r="B52" t="str">
            <v>Main Panel</v>
          </cell>
        </row>
      </sheetData>
      <sheetData sheetId="2094">
        <row r="52">
          <cell r="B52" t="str">
            <v>Main Panel</v>
          </cell>
        </row>
      </sheetData>
      <sheetData sheetId="2095">
        <row r="52">
          <cell r="B52" t="str">
            <v>Main Panel</v>
          </cell>
        </row>
      </sheetData>
      <sheetData sheetId="2096">
        <row r="52">
          <cell r="B52" t="str">
            <v>Main Panel</v>
          </cell>
        </row>
      </sheetData>
      <sheetData sheetId="2097">
        <row r="52">
          <cell r="B52" t="str">
            <v>Main Panel</v>
          </cell>
        </row>
      </sheetData>
      <sheetData sheetId="2098">
        <row r="52">
          <cell r="B52" t="str">
            <v>Main Panel</v>
          </cell>
        </row>
      </sheetData>
      <sheetData sheetId="2099">
        <row r="52">
          <cell r="B52" t="str">
            <v>Main Panel</v>
          </cell>
        </row>
      </sheetData>
      <sheetData sheetId="2100">
        <row r="52">
          <cell r="B52" t="str">
            <v>Main Panel</v>
          </cell>
        </row>
      </sheetData>
      <sheetData sheetId="2101">
        <row r="52">
          <cell r="B52" t="str">
            <v>Main Panel</v>
          </cell>
        </row>
      </sheetData>
      <sheetData sheetId="2102">
        <row r="52">
          <cell r="B52" t="str">
            <v>Main Panel</v>
          </cell>
        </row>
      </sheetData>
      <sheetData sheetId="2103">
        <row r="52">
          <cell r="B52" t="str">
            <v>Main Panel</v>
          </cell>
        </row>
      </sheetData>
      <sheetData sheetId="2104">
        <row r="52">
          <cell r="B52" t="str">
            <v>Main Panel</v>
          </cell>
        </row>
      </sheetData>
      <sheetData sheetId="2105">
        <row r="52">
          <cell r="B52" t="str">
            <v>Main Panel</v>
          </cell>
        </row>
      </sheetData>
      <sheetData sheetId="2106">
        <row r="52">
          <cell r="B52" t="str">
            <v>Main Panel</v>
          </cell>
        </row>
      </sheetData>
      <sheetData sheetId="2107">
        <row r="52">
          <cell r="B52" t="str">
            <v>Main Panel</v>
          </cell>
        </row>
      </sheetData>
      <sheetData sheetId="2108">
        <row r="52">
          <cell r="B52" t="str">
            <v>Main Panel</v>
          </cell>
        </row>
      </sheetData>
      <sheetData sheetId="2109">
        <row r="52">
          <cell r="B52" t="str">
            <v>Main Panel</v>
          </cell>
        </row>
      </sheetData>
      <sheetData sheetId="2110">
        <row r="52">
          <cell r="B52" t="str">
            <v>Main Panel</v>
          </cell>
        </row>
      </sheetData>
      <sheetData sheetId="2111">
        <row r="52">
          <cell r="B52" t="str">
            <v>Main Panel</v>
          </cell>
        </row>
      </sheetData>
      <sheetData sheetId="2112">
        <row r="52">
          <cell r="B52" t="str">
            <v>Main Panel</v>
          </cell>
        </row>
      </sheetData>
      <sheetData sheetId="2113">
        <row r="52">
          <cell r="B52" t="str">
            <v>Main Panel</v>
          </cell>
        </row>
      </sheetData>
      <sheetData sheetId="2114">
        <row r="52">
          <cell r="B52" t="str">
            <v>Main Panel</v>
          </cell>
        </row>
      </sheetData>
      <sheetData sheetId="2115">
        <row r="52">
          <cell r="B52" t="str">
            <v>Main Panel</v>
          </cell>
        </row>
      </sheetData>
      <sheetData sheetId="2116">
        <row r="52">
          <cell r="B52" t="str">
            <v>Main Panel</v>
          </cell>
        </row>
      </sheetData>
      <sheetData sheetId="2117">
        <row r="52">
          <cell r="B52" t="str">
            <v>Main Panel</v>
          </cell>
        </row>
      </sheetData>
      <sheetData sheetId="2118">
        <row r="52">
          <cell r="B52" t="str">
            <v>Main Panel</v>
          </cell>
        </row>
      </sheetData>
      <sheetData sheetId="2119">
        <row r="52">
          <cell r="B52" t="str">
            <v>Main Panel</v>
          </cell>
        </row>
      </sheetData>
      <sheetData sheetId="2120">
        <row r="52">
          <cell r="B52" t="str">
            <v>Main Panel</v>
          </cell>
        </row>
      </sheetData>
      <sheetData sheetId="2121">
        <row r="52">
          <cell r="B52" t="str">
            <v>Main Panel</v>
          </cell>
        </row>
      </sheetData>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row r="52">
          <cell r="B52" t="str">
            <v>Main Panel</v>
          </cell>
        </row>
      </sheetData>
      <sheetData sheetId="2151">
        <row r="52">
          <cell r="B52" t="str">
            <v>Main Panel</v>
          </cell>
        </row>
      </sheetData>
      <sheetData sheetId="2152">
        <row r="52">
          <cell r="B52" t="str">
            <v>Main Panel</v>
          </cell>
        </row>
      </sheetData>
      <sheetData sheetId="2153">
        <row r="52">
          <cell r="B52" t="str">
            <v>Main Panel</v>
          </cell>
        </row>
      </sheetData>
      <sheetData sheetId="2154">
        <row r="52">
          <cell r="B52" t="str">
            <v>Main Panel</v>
          </cell>
        </row>
      </sheetData>
      <sheetData sheetId="2155">
        <row r="52">
          <cell r="B52" t="str">
            <v>Main Panel</v>
          </cell>
        </row>
      </sheetData>
      <sheetData sheetId="2156">
        <row r="52">
          <cell r="B52" t="str">
            <v>Main Panel</v>
          </cell>
        </row>
      </sheetData>
      <sheetData sheetId="2157">
        <row r="52">
          <cell r="B52" t="str">
            <v>Main Panel</v>
          </cell>
        </row>
      </sheetData>
      <sheetData sheetId="2158">
        <row r="52">
          <cell r="B52" t="str">
            <v>Main Panel</v>
          </cell>
        </row>
      </sheetData>
      <sheetData sheetId="2159">
        <row r="52">
          <cell r="B52" t="str">
            <v>Main Panel</v>
          </cell>
        </row>
      </sheetData>
      <sheetData sheetId="2160">
        <row r="52">
          <cell r="B52" t="str">
            <v>Main Panel</v>
          </cell>
        </row>
      </sheetData>
      <sheetData sheetId="2161">
        <row r="52">
          <cell r="B52" t="str">
            <v>Main Panel</v>
          </cell>
        </row>
      </sheetData>
      <sheetData sheetId="2162">
        <row r="52">
          <cell r="B52" t="str">
            <v>Main Panel</v>
          </cell>
        </row>
      </sheetData>
      <sheetData sheetId="2163">
        <row r="52">
          <cell r="B52" t="str">
            <v>Main Panel</v>
          </cell>
        </row>
      </sheetData>
      <sheetData sheetId="2164">
        <row r="52">
          <cell r="B52" t="str">
            <v>Main Panel</v>
          </cell>
        </row>
      </sheetData>
      <sheetData sheetId="2165">
        <row r="52">
          <cell r="B52" t="str">
            <v>Main Panel</v>
          </cell>
        </row>
      </sheetData>
      <sheetData sheetId="2166">
        <row r="52">
          <cell r="B52" t="str">
            <v>Main Panel</v>
          </cell>
        </row>
      </sheetData>
      <sheetData sheetId="2167">
        <row r="52">
          <cell r="B52" t="str">
            <v>Main Panel</v>
          </cell>
        </row>
      </sheetData>
      <sheetData sheetId="2168">
        <row r="52">
          <cell r="B52" t="str">
            <v>Main Panel</v>
          </cell>
        </row>
      </sheetData>
      <sheetData sheetId="2169">
        <row r="52">
          <cell r="B52" t="str">
            <v>Main Panel</v>
          </cell>
        </row>
      </sheetData>
      <sheetData sheetId="2170">
        <row r="52">
          <cell r="B52" t="str">
            <v>Main Panel</v>
          </cell>
        </row>
      </sheetData>
      <sheetData sheetId="2171">
        <row r="52">
          <cell r="B52" t="str">
            <v>Main Panel</v>
          </cell>
        </row>
      </sheetData>
      <sheetData sheetId="2172">
        <row r="52">
          <cell r="B52" t="str">
            <v>Main Panel</v>
          </cell>
        </row>
      </sheetData>
      <sheetData sheetId="2173">
        <row r="52">
          <cell r="B52" t="str">
            <v>Main Panel</v>
          </cell>
        </row>
      </sheetData>
      <sheetData sheetId="2174">
        <row r="52">
          <cell r="B52" t="str">
            <v>Main Panel</v>
          </cell>
        </row>
      </sheetData>
      <sheetData sheetId="2175">
        <row r="52">
          <cell r="B52" t="str">
            <v>Main Panel</v>
          </cell>
        </row>
      </sheetData>
      <sheetData sheetId="2176">
        <row r="52">
          <cell r="B52" t="str">
            <v>Main Panel</v>
          </cell>
        </row>
      </sheetData>
      <sheetData sheetId="2177">
        <row r="52">
          <cell r="B52" t="str">
            <v>Main Panel</v>
          </cell>
        </row>
      </sheetData>
      <sheetData sheetId="2178">
        <row r="52">
          <cell r="B52" t="str">
            <v>Main Panel</v>
          </cell>
        </row>
      </sheetData>
      <sheetData sheetId="2179">
        <row r="52">
          <cell r="B52" t="str">
            <v>Main Panel</v>
          </cell>
        </row>
      </sheetData>
      <sheetData sheetId="2180">
        <row r="52">
          <cell r="B52" t="str">
            <v>Main Panel</v>
          </cell>
        </row>
      </sheetData>
      <sheetData sheetId="2181">
        <row r="52">
          <cell r="B52" t="str">
            <v>Main Panel</v>
          </cell>
        </row>
      </sheetData>
      <sheetData sheetId="2182">
        <row r="52">
          <cell r="B52" t="str">
            <v>Main Panel</v>
          </cell>
        </row>
      </sheetData>
      <sheetData sheetId="2183">
        <row r="52">
          <cell r="B52" t="str">
            <v>Main Panel</v>
          </cell>
        </row>
      </sheetData>
      <sheetData sheetId="2184">
        <row r="52">
          <cell r="B52" t="str">
            <v>Main Panel</v>
          </cell>
        </row>
      </sheetData>
      <sheetData sheetId="2185">
        <row r="52">
          <cell r="B52" t="str">
            <v>Main Panel</v>
          </cell>
        </row>
      </sheetData>
      <sheetData sheetId="2186">
        <row r="52">
          <cell r="B52" t="str">
            <v>Main Panel</v>
          </cell>
        </row>
      </sheetData>
      <sheetData sheetId="2187">
        <row r="52">
          <cell r="B52" t="str">
            <v>Main Panel</v>
          </cell>
        </row>
      </sheetData>
      <sheetData sheetId="2188">
        <row r="52">
          <cell r="B52" t="str">
            <v>Main Panel</v>
          </cell>
        </row>
      </sheetData>
      <sheetData sheetId="2189">
        <row r="52">
          <cell r="B52" t="str">
            <v>Main Panel</v>
          </cell>
        </row>
      </sheetData>
      <sheetData sheetId="2190">
        <row r="52">
          <cell r="B52" t="str">
            <v>Main Panel</v>
          </cell>
        </row>
      </sheetData>
      <sheetData sheetId="2191">
        <row r="52">
          <cell r="B52" t="str">
            <v>Main Panel</v>
          </cell>
        </row>
      </sheetData>
      <sheetData sheetId="2192">
        <row r="52">
          <cell r="B52" t="str">
            <v>Main Panel</v>
          </cell>
        </row>
      </sheetData>
      <sheetData sheetId="2193">
        <row r="52">
          <cell r="B52" t="str">
            <v>Main Panel</v>
          </cell>
        </row>
      </sheetData>
      <sheetData sheetId="2194">
        <row r="52">
          <cell r="B52" t="str">
            <v>Main Panel</v>
          </cell>
        </row>
      </sheetData>
      <sheetData sheetId="2195">
        <row r="52">
          <cell r="B52" t="str">
            <v>Main Panel</v>
          </cell>
        </row>
      </sheetData>
      <sheetData sheetId="2196">
        <row r="52">
          <cell r="B52" t="str">
            <v>Main Panel</v>
          </cell>
        </row>
      </sheetData>
      <sheetData sheetId="2197">
        <row r="52">
          <cell r="B52" t="str">
            <v>Main Panel</v>
          </cell>
        </row>
      </sheetData>
      <sheetData sheetId="2198">
        <row r="52">
          <cell r="B52" t="str">
            <v>Main Panel</v>
          </cell>
        </row>
      </sheetData>
      <sheetData sheetId="2199">
        <row r="52">
          <cell r="B52" t="str">
            <v>Main Panel</v>
          </cell>
        </row>
      </sheetData>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row r="52">
          <cell r="B52" t="str">
            <v>Main Panel</v>
          </cell>
        </row>
      </sheetData>
      <sheetData sheetId="2268">
        <row r="52">
          <cell r="B52" t="str">
            <v>Main Panel</v>
          </cell>
        </row>
      </sheetData>
      <sheetData sheetId="2269">
        <row r="52">
          <cell r="B52" t="str">
            <v>Main Panel</v>
          </cell>
        </row>
      </sheetData>
      <sheetData sheetId="2270">
        <row r="52">
          <cell r="B52" t="str">
            <v>Main Panel</v>
          </cell>
        </row>
      </sheetData>
      <sheetData sheetId="2271">
        <row r="52">
          <cell r="B52" t="str">
            <v>Main Panel</v>
          </cell>
        </row>
      </sheetData>
      <sheetData sheetId="2272">
        <row r="52">
          <cell r="B52" t="str">
            <v>Main Panel</v>
          </cell>
        </row>
      </sheetData>
      <sheetData sheetId="2273">
        <row r="52">
          <cell r="B52" t="str">
            <v>Main Panel</v>
          </cell>
        </row>
      </sheetData>
      <sheetData sheetId="2274">
        <row r="52">
          <cell r="B52" t="str">
            <v>Main Panel</v>
          </cell>
        </row>
      </sheetData>
      <sheetData sheetId="2275">
        <row r="52">
          <cell r="B52" t="str">
            <v>Main Panel</v>
          </cell>
        </row>
      </sheetData>
      <sheetData sheetId="2276">
        <row r="52">
          <cell r="B52" t="str">
            <v>Main Panel</v>
          </cell>
        </row>
      </sheetData>
      <sheetData sheetId="2277">
        <row r="52">
          <cell r="B52" t="str">
            <v>Main Panel</v>
          </cell>
        </row>
      </sheetData>
      <sheetData sheetId="2278">
        <row r="52">
          <cell r="B52" t="str">
            <v>Main Panel</v>
          </cell>
        </row>
      </sheetData>
      <sheetData sheetId="2279">
        <row r="52">
          <cell r="B52" t="str">
            <v>Main Panel</v>
          </cell>
        </row>
      </sheetData>
      <sheetData sheetId="2280">
        <row r="52">
          <cell r="B52" t="str">
            <v>Main Panel</v>
          </cell>
        </row>
      </sheetData>
      <sheetData sheetId="2281">
        <row r="52">
          <cell r="B52" t="str">
            <v>Main Panel</v>
          </cell>
        </row>
      </sheetData>
      <sheetData sheetId="2282">
        <row r="52">
          <cell r="B52" t="str">
            <v>Main Panel</v>
          </cell>
        </row>
      </sheetData>
      <sheetData sheetId="2283">
        <row r="52">
          <cell r="B52" t="str">
            <v>Main Panel</v>
          </cell>
        </row>
      </sheetData>
      <sheetData sheetId="2284">
        <row r="52">
          <cell r="B52" t="str">
            <v>Main Panel</v>
          </cell>
        </row>
      </sheetData>
      <sheetData sheetId="2285">
        <row r="52">
          <cell r="B52" t="str">
            <v>Main Panel</v>
          </cell>
        </row>
      </sheetData>
      <sheetData sheetId="2286">
        <row r="52">
          <cell r="B52" t="str">
            <v>Main Panel</v>
          </cell>
        </row>
      </sheetData>
      <sheetData sheetId="2287">
        <row r="52">
          <cell r="B52" t="str">
            <v>Main Panel</v>
          </cell>
        </row>
      </sheetData>
      <sheetData sheetId="2288">
        <row r="52">
          <cell r="B52" t="str">
            <v>Main Panel</v>
          </cell>
        </row>
      </sheetData>
      <sheetData sheetId="2289">
        <row r="52">
          <cell r="B52" t="str">
            <v>Main Panel</v>
          </cell>
        </row>
      </sheetData>
      <sheetData sheetId="2290">
        <row r="52">
          <cell r="B52" t="str">
            <v>Main Panel</v>
          </cell>
        </row>
      </sheetData>
      <sheetData sheetId="2291">
        <row r="52">
          <cell r="B52" t="str">
            <v>Main Panel</v>
          </cell>
        </row>
      </sheetData>
      <sheetData sheetId="2292">
        <row r="52">
          <cell r="B52" t="str">
            <v>Main Panel</v>
          </cell>
        </row>
      </sheetData>
      <sheetData sheetId="2293">
        <row r="52">
          <cell r="B52" t="str">
            <v>Main Panel</v>
          </cell>
        </row>
      </sheetData>
      <sheetData sheetId="2294">
        <row r="52">
          <cell r="B52" t="str">
            <v>Main Panel</v>
          </cell>
        </row>
      </sheetData>
      <sheetData sheetId="2295">
        <row r="52">
          <cell r="B52" t="str">
            <v>Main Panel</v>
          </cell>
        </row>
      </sheetData>
      <sheetData sheetId="2296">
        <row r="52">
          <cell r="B52" t="str">
            <v>Main Panel</v>
          </cell>
        </row>
      </sheetData>
      <sheetData sheetId="2297">
        <row r="52">
          <cell r="B52" t="str">
            <v>Main Panel</v>
          </cell>
        </row>
      </sheetData>
      <sheetData sheetId="2298">
        <row r="52">
          <cell r="B52" t="str">
            <v>Main Panel</v>
          </cell>
        </row>
      </sheetData>
      <sheetData sheetId="2299">
        <row r="52">
          <cell r="B52" t="str">
            <v>Main Panel</v>
          </cell>
        </row>
      </sheetData>
      <sheetData sheetId="2300">
        <row r="52">
          <cell r="B52" t="str">
            <v>Main Panel</v>
          </cell>
        </row>
      </sheetData>
      <sheetData sheetId="2301">
        <row r="52">
          <cell r="B52" t="str">
            <v>Main Panel</v>
          </cell>
        </row>
      </sheetData>
      <sheetData sheetId="2302">
        <row r="52">
          <cell r="B52" t="str">
            <v>Main Panel</v>
          </cell>
        </row>
      </sheetData>
      <sheetData sheetId="2303">
        <row r="52">
          <cell r="B52" t="str">
            <v>Main Panel</v>
          </cell>
        </row>
      </sheetData>
      <sheetData sheetId="2304">
        <row r="52">
          <cell r="B52" t="str">
            <v>Main Panel</v>
          </cell>
        </row>
      </sheetData>
      <sheetData sheetId="2305">
        <row r="52">
          <cell r="B52" t="str">
            <v>Main Panel</v>
          </cell>
        </row>
      </sheetData>
      <sheetData sheetId="2306">
        <row r="52">
          <cell r="B52" t="str">
            <v>Main Panel</v>
          </cell>
        </row>
      </sheetData>
      <sheetData sheetId="2307">
        <row r="52">
          <cell r="B52" t="str">
            <v>Main Panel</v>
          </cell>
        </row>
      </sheetData>
      <sheetData sheetId="2308">
        <row r="52">
          <cell r="B52" t="str">
            <v>Main Panel</v>
          </cell>
        </row>
      </sheetData>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ow r="52">
          <cell r="B52" t="str">
            <v>Main Panel</v>
          </cell>
        </row>
      </sheetData>
      <sheetData sheetId="2380">
        <row r="52">
          <cell r="B52" t="str">
            <v>Main Panel</v>
          </cell>
        </row>
      </sheetData>
      <sheetData sheetId="2381">
        <row r="52">
          <cell r="B52" t="str">
            <v>Main Panel</v>
          </cell>
        </row>
      </sheetData>
      <sheetData sheetId="2382">
        <row r="52">
          <cell r="B52" t="str">
            <v>Main Panel</v>
          </cell>
        </row>
      </sheetData>
      <sheetData sheetId="2383">
        <row r="52">
          <cell r="B52" t="str">
            <v>Main Panel</v>
          </cell>
        </row>
      </sheetData>
      <sheetData sheetId="2384">
        <row r="52">
          <cell r="B52" t="str">
            <v>Main Panel</v>
          </cell>
        </row>
      </sheetData>
      <sheetData sheetId="2385">
        <row r="52">
          <cell r="B52" t="str">
            <v>Main Panel</v>
          </cell>
        </row>
      </sheetData>
      <sheetData sheetId="2386">
        <row r="52">
          <cell r="B52" t="str">
            <v>Main Panel</v>
          </cell>
        </row>
      </sheetData>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row r="52">
          <cell r="B52" t="str">
            <v>Main Panel</v>
          </cell>
        </row>
      </sheetData>
      <sheetData sheetId="2408">
        <row r="52">
          <cell r="B52" t="str">
            <v>Main Panel</v>
          </cell>
        </row>
      </sheetData>
      <sheetData sheetId="2409"/>
      <sheetData sheetId="2410">
        <row r="52">
          <cell r="B52" t="str">
            <v>Main Panel</v>
          </cell>
        </row>
      </sheetData>
      <sheetData sheetId="2411">
        <row r="52">
          <cell r="B52" t="str">
            <v>Main Panel</v>
          </cell>
        </row>
      </sheetData>
      <sheetData sheetId="2412">
        <row r="52">
          <cell r="B52" t="str">
            <v>Main Panel</v>
          </cell>
        </row>
      </sheetData>
      <sheetData sheetId="2413">
        <row r="52">
          <cell r="B52" t="str">
            <v>Main Panel</v>
          </cell>
        </row>
      </sheetData>
      <sheetData sheetId="2414">
        <row r="52">
          <cell r="B52" t="str">
            <v>Main Panel</v>
          </cell>
        </row>
      </sheetData>
      <sheetData sheetId="2415">
        <row r="52">
          <cell r="B52" t="str">
            <v>Main Panel</v>
          </cell>
        </row>
      </sheetData>
      <sheetData sheetId="2416">
        <row r="52">
          <cell r="B52" t="str">
            <v>Main Panel</v>
          </cell>
        </row>
      </sheetData>
      <sheetData sheetId="2417">
        <row r="52">
          <cell r="B52" t="str">
            <v>Main Panel</v>
          </cell>
        </row>
      </sheetData>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ow r="52">
          <cell r="B52" t="str">
            <v>Main Panel</v>
          </cell>
        </row>
      </sheetData>
      <sheetData sheetId="2497">
        <row r="52">
          <cell r="B52" t="str">
            <v>Main Panel</v>
          </cell>
        </row>
      </sheetData>
      <sheetData sheetId="2498">
        <row r="52">
          <cell r="B52" t="str">
            <v>Main Panel</v>
          </cell>
        </row>
      </sheetData>
      <sheetData sheetId="2499">
        <row r="52">
          <cell r="B52" t="str">
            <v>Main Panel</v>
          </cell>
        </row>
      </sheetData>
      <sheetData sheetId="2500">
        <row r="52">
          <cell r="B52" t="str">
            <v>Main Panel</v>
          </cell>
        </row>
      </sheetData>
      <sheetData sheetId="2501">
        <row r="52">
          <cell r="B52" t="str">
            <v>Main Panel</v>
          </cell>
        </row>
      </sheetData>
      <sheetData sheetId="2502">
        <row r="52">
          <cell r="B52" t="str">
            <v>Main Panel</v>
          </cell>
        </row>
      </sheetData>
      <sheetData sheetId="2503">
        <row r="52">
          <cell r="B52" t="str">
            <v>Main Panel</v>
          </cell>
        </row>
      </sheetData>
      <sheetData sheetId="2504">
        <row r="52">
          <cell r="B52" t="str">
            <v>Main Panel</v>
          </cell>
        </row>
      </sheetData>
      <sheetData sheetId="2505">
        <row r="52">
          <cell r="B52" t="str">
            <v>Main Panel</v>
          </cell>
        </row>
      </sheetData>
      <sheetData sheetId="2506">
        <row r="52">
          <cell r="B52" t="str">
            <v>Main Panel</v>
          </cell>
        </row>
      </sheetData>
      <sheetData sheetId="2507">
        <row r="52">
          <cell r="B52" t="str">
            <v>Main Panel</v>
          </cell>
        </row>
      </sheetData>
      <sheetData sheetId="2508">
        <row r="52">
          <cell r="B52" t="str">
            <v>Main Panel</v>
          </cell>
        </row>
      </sheetData>
      <sheetData sheetId="2509">
        <row r="52">
          <cell r="B52" t="str">
            <v>Main Panel</v>
          </cell>
        </row>
      </sheetData>
      <sheetData sheetId="2510">
        <row r="52">
          <cell r="B52" t="str">
            <v>Main Panel</v>
          </cell>
        </row>
      </sheetData>
      <sheetData sheetId="2511">
        <row r="52">
          <cell r="B52" t="str">
            <v>Main Panel</v>
          </cell>
        </row>
      </sheetData>
      <sheetData sheetId="2512">
        <row r="52">
          <cell r="B52" t="str">
            <v>Main Panel</v>
          </cell>
        </row>
      </sheetData>
      <sheetData sheetId="2513">
        <row r="52">
          <cell r="B52" t="str">
            <v>Main Panel</v>
          </cell>
        </row>
      </sheetData>
      <sheetData sheetId="2514">
        <row r="52">
          <cell r="B52" t="str">
            <v>Main Panel</v>
          </cell>
        </row>
      </sheetData>
      <sheetData sheetId="2515">
        <row r="52">
          <cell r="B52" t="str">
            <v>Main Panel</v>
          </cell>
        </row>
      </sheetData>
      <sheetData sheetId="2516">
        <row r="52">
          <cell r="B52" t="str">
            <v>Main Panel</v>
          </cell>
        </row>
      </sheetData>
      <sheetData sheetId="2517">
        <row r="52">
          <cell r="B52" t="str">
            <v>Main Panel</v>
          </cell>
        </row>
      </sheetData>
      <sheetData sheetId="2518">
        <row r="52">
          <cell r="B52" t="str">
            <v>Main Panel</v>
          </cell>
        </row>
      </sheetData>
      <sheetData sheetId="2519">
        <row r="52">
          <cell r="B52" t="str">
            <v>Main Panel</v>
          </cell>
        </row>
      </sheetData>
      <sheetData sheetId="2520">
        <row r="52">
          <cell r="B52" t="str">
            <v>Main Panel</v>
          </cell>
        </row>
      </sheetData>
      <sheetData sheetId="2521">
        <row r="52">
          <cell r="B52" t="str">
            <v>Main Panel</v>
          </cell>
        </row>
      </sheetData>
      <sheetData sheetId="2522">
        <row r="52">
          <cell r="B52" t="str">
            <v>Main Panel</v>
          </cell>
        </row>
      </sheetData>
      <sheetData sheetId="2523">
        <row r="52">
          <cell r="B52" t="str">
            <v>Main Panel</v>
          </cell>
        </row>
      </sheetData>
      <sheetData sheetId="2524">
        <row r="52">
          <cell r="B52" t="str">
            <v>Main Panel</v>
          </cell>
        </row>
      </sheetData>
      <sheetData sheetId="2525">
        <row r="52">
          <cell r="B52" t="str">
            <v>Main Panel</v>
          </cell>
        </row>
      </sheetData>
      <sheetData sheetId="2526">
        <row r="52">
          <cell r="B52" t="str">
            <v>Main Panel</v>
          </cell>
        </row>
      </sheetData>
      <sheetData sheetId="2527">
        <row r="52">
          <cell r="B52" t="str">
            <v>Main Panel</v>
          </cell>
        </row>
      </sheetData>
      <sheetData sheetId="2528">
        <row r="52">
          <cell r="B52" t="str">
            <v>Main Panel</v>
          </cell>
        </row>
      </sheetData>
      <sheetData sheetId="2529">
        <row r="52">
          <cell r="B52" t="str">
            <v>Main Panel</v>
          </cell>
        </row>
      </sheetData>
      <sheetData sheetId="2530">
        <row r="52">
          <cell r="B52" t="str">
            <v>Main Panel</v>
          </cell>
        </row>
      </sheetData>
      <sheetData sheetId="2531">
        <row r="52">
          <cell r="B52" t="str">
            <v>Main Panel</v>
          </cell>
        </row>
      </sheetData>
      <sheetData sheetId="2532">
        <row r="52">
          <cell r="B52" t="str">
            <v>Main Panel</v>
          </cell>
        </row>
      </sheetData>
      <sheetData sheetId="2533">
        <row r="52">
          <cell r="B52" t="str">
            <v>Main Panel</v>
          </cell>
        </row>
      </sheetData>
      <sheetData sheetId="2534">
        <row r="52">
          <cell r="B52" t="str">
            <v>Main Panel</v>
          </cell>
        </row>
      </sheetData>
      <sheetData sheetId="2535">
        <row r="52">
          <cell r="B52" t="str">
            <v>Main Panel</v>
          </cell>
        </row>
      </sheetData>
      <sheetData sheetId="2536">
        <row r="52">
          <cell r="B52" t="str">
            <v>Main Panel</v>
          </cell>
        </row>
      </sheetData>
      <sheetData sheetId="2537">
        <row r="52">
          <cell r="B52" t="str">
            <v>Main Panel</v>
          </cell>
        </row>
      </sheetData>
      <sheetData sheetId="2538">
        <row r="52">
          <cell r="B52" t="str">
            <v>Main Panel</v>
          </cell>
        </row>
      </sheetData>
      <sheetData sheetId="2539">
        <row r="52">
          <cell r="B52" t="str">
            <v>Main Panel</v>
          </cell>
        </row>
      </sheetData>
      <sheetData sheetId="2540">
        <row r="52">
          <cell r="B52" t="str">
            <v>Main Panel</v>
          </cell>
        </row>
      </sheetData>
      <sheetData sheetId="2541">
        <row r="52">
          <cell r="B52" t="str">
            <v>Main Panel</v>
          </cell>
        </row>
      </sheetData>
      <sheetData sheetId="2542">
        <row r="52">
          <cell r="B52" t="str">
            <v>Main Panel</v>
          </cell>
        </row>
      </sheetData>
      <sheetData sheetId="2543">
        <row r="52">
          <cell r="B52" t="str">
            <v>Main Panel</v>
          </cell>
        </row>
      </sheetData>
      <sheetData sheetId="2544">
        <row r="52">
          <cell r="B52" t="str">
            <v>Main Panel</v>
          </cell>
        </row>
      </sheetData>
      <sheetData sheetId="2545">
        <row r="52">
          <cell r="B52" t="str">
            <v>Main Panel</v>
          </cell>
        </row>
      </sheetData>
      <sheetData sheetId="2546">
        <row r="52">
          <cell r="B52" t="str">
            <v>Main Panel</v>
          </cell>
        </row>
      </sheetData>
      <sheetData sheetId="2547">
        <row r="52">
          <cell r="B52" t="str">
            <v>Main Panel</v>
          </cell>
        </row>
      </sheetData>
      <sheetData sheetId="2548">
        <row r="52">
          <cell r="B52" t="str">
            <v>Main Panel</v>
          </cell>
        </row>
      </sheetData>
      <sheetData sheetId="2549">
        <row r="52">
          <cell r="B52" t="str">
            <v>Main Panel</v>
          </cell>
        </row>
      </sheetData>
      <sheetData sheetId="2550">
        <row r="52">
          <cell r="B52" t="str">
            <v>Main Panel</v>
          </cell>
        </row>
      </sheetData>
      <sheetData sheetId="2551">
        <row r="52">
          <cell r="B52" t="str">
            <v>Main Panel</v>
          </cell>
        </row>
      </sheetData>
      <sheetData sheetId="2552">
        <row r="52">
          <cell r="B52" t="str">
            <v>Main Panel</v>
          </cell>
        </row>
      </sheetData>
      <sheetData sheetId="2553">
        <row r="52">
          <cell r="B52" t="str">
            <v>Main Panel</v>
          </cell>
        </row>
      </sheetData>
      <sheetData sheetId="2554">
        <row r="52">
          <cell r="B52" t="str">
            <v>Main Panel</v>
          </cell>
        </row>
      </sheetData>
      <sheetData sheetId="2555">
        <row r="52">
          <cell r="B52" t="str">
            <v>Main Panel</v>
          </cell>
        </row>
      </sheetData>
      <sheetData sheetId="2556">
        <row r="52">
          <cell r="B52" t="str">
            <v>Main Panel</v>
          </cell>
        </row>
      </sheetData>
      <sheetData sheetId="2557">
        <row r="52">
          <cell r="B52" t="str">
            <v>Main Panel</v>
          </cell>
        </row>
      </sheetData>
      <sheetData sheetId="2558">
        <row r="52">
          <cell r="B52" t="str">
            <v>Main Panel</v>
          </cell>
        </row>
      </sheetData>
      <sheetData sheetId="2559">
        <row r="52">
          <cell r="B52" t="str">
            <v>Main Panel</v>
          </cell>
        </row>
      </sheetData>
      <sheetData sheetId="2560">
        <row r="52">
          <cell r="B52" t="str">
            <v>Main Panel</v>
          </cell>
        </row>
      </sheetData>
      <sheetData sheetId="2561">
        <row r="52">
          <cell r="B52" t="str">
            <v>Main Panel</v>
          </cell>
        </row>
      </sheetData>
      <sheetData sheetId="2562">
        <row r="52">
          <cell r="B52" t="str">
            <v>Main Panel</v>
          </cell>
        </row>
      </sheetData>
      <sheetData sheetId="2563">
        <row r="52">
          <cell r="B52" t="str">
            <v>Main Panel</v>
          </cell>
        </row>
      </sheetData>
      <sheetData sheetId="2564">
        <row r="52">
          <cell r="B52" t="str">
            <v>Main Panel</v>
          </cell>
        </row>
      </sheetData>
      <sheetData sheetId="2565">
        <row r="52">
          <cell r="B52" t="str">
            <v>Main Panel</v>
          </cell>
        </row>
      </sheetData>
      <sheetData sheetId="2566">
        <row r="52">
          <cell r="B52" t="str">
            <v>Main Panel</v>
          </cell>
        </row>
      </sheetData>
      <sheetData sheetId="2567">
        <row r="52">
          <cell r="B52" t="str">
            <v>Main Panel</v>
          </cell>
        </row>
      </sheetData>
      <sheetData sheetId="2568">
        <row r="52">
          <cell r="B52" t="str">
            <v>Main Panel</v>
          </cell>
        </row>
      </sheetData>
      <sheetData sheetId="2569">
        <row r="52">
          <cell r="B52" t="str">
            <v>Main Panel</v>
          </cell>
        </row>
      </sheetData>
      <sheetData sheetId="2570">
        <row r="52">
          <cell r="B52" t="str">
            <v>Main Panel</v>
          </cell>
        </row>
      </sheetData>
      <sheetData sheetId="2571">
        <row r="52">
          <cell r="B52" t="str">
            <v>Main Panel</v>
          </cell>
        </row>
      </sheetData>
      <sheetData sheetId="2572">
        <row r="52">
          <cell r="B52" t="str">
            <v>Main Panel</v>
          </cell>
        </row>
      </sheetData>
      <sheetData sheetId="2573">
        <row r="52">
          <cell r="B52" t="str">
            <v>Main Panel</v>
          </cell>
        </row>
      </sheetData>
      <sheetData sheetId="2574">
        <row r="52">
          <cell r="B52" t="str">
            <v>Main Panel</v>
          </cell>
        </row>
      </sheetData>
      <sheetData sheetId="2575">
        <row r="52">
          <cell r="B52" t="str">
            <v>Main Panel</v>
          </cell>
        </row>
      </sheetData>
      <sheetData sheetId="2576">
        <row r="52">
          <cell r="B52" t="str">
            <v>Main Panel</v>
          </cell>
        </row>
      </sheetData>
      <sheetData sheetId="2577">
        <row r="52">
          <cell r="B52" t="str">
            <v>Main Panel</v>
          </cell>
        </row>
      </sheetData>
      <sheetData sheetId="2578">
        <row r="52">
          <cell r="B52" t="str">
            <v>Main Panel</v>
          </cell>
        </row>
      </sheetData>
      <sheetData sheetId="2579">
        <row r="52">
          <cell r="B52" t="str">
            <v>Main Panel</v>
          </cell>
        </row>
      </sheetData>
      <sheetData sheetId="2580">
        <row r="52">
          <cell r="B52" t="str">
            <v>Main Panel</v>
          </cell>
        </row>
      </sheetData>
      <sheetData sheetId="2581">
        <row r="52">
          <cell r="B52" t="str">
            <v>Main Panel</v>
          </cell>
        </row>
      </sheetData>
      <sheetData sheetId="2582">
        <row r="52">
          <cell r="B52" t="str">
            <v>Main Panel</v>
          </cell>
        </row>
      </sheetData>
      <sheetData sheetId="2583">
        <row r="52">
          <cell r="B52" t="str">
            <v>Main Panel</v>
          </cell>
        </row>
      </sheetData>
      <sheetData sheetId="2584">
        <row r="52">
          <cell r="B52" t="str">
            <v>Main Panel</v>
          </cell>
        </row>
      </sheetData>
      <sheetData sheetId="2585">
        <row r="52">
          <cell r="B52" t="str">
            <v>Main Panel</v>
          </cell>
        </row>
      </sheetData>
      <sheetData sheetId="2586">
        <row r="52">
          <cell r="B52" t="str">
            <v>Main Panel</v>
          </cell>
        </row>
      </sheetData>
      <sheetData sheetId="2587">
        <row r="52">
          <cell r="B52" t="str">
            <v>Main Panel</v>
          </cell>
        </row>
      </sheetData>
      <sheetData sheetId="2588">
        <row r="52">
          <cell r="B52" t="str">
            <v>Main Panel</v>
          </cell>
        </row>
      </sheetData>
      <sheetData sheetId="2589">
        <row r="52">
          <cell r="B52" t="str">
            <v>Main Panel</v>
          </cell>
        </row>
      </sheetData>
      <sheetData sheetId="2590">
        <row r="52">
          <cell r="B52" t="str">
            <v>Main Panel</v>
          </cell>
        </row>
      </sheetData>
      <sheetData sheetId="2591">
        <row r="52">
          <cell r="B52" t="str">
            <v>Main Panel</v>
          </cell>
        </row>
      </sheetData>
      <sheetData sheetId="2592">
        <row r="52">
          <cell r="B52" t="str">
            <v>Main Panel</v>
          </cell>
        </row>
      </sheetData>
      <sheetData sheetId="2593">
        <row r="52">
          <cell r="B52" t="str">
            <v>Main Panel</v>
          </cell>
        </row>
      </sheetData>
      <sheetData sheetId="2594">
        <row r="52">
          <cell r="B52" t="str">
            <v>Main Panel</v>
          </cell>
        </row>
      </sheetData>
      <sheetData sheetId="2595">
        <row r="52">
          <cell r="B52" t="str">
            <v>Main Panel</v>
          </cell>
        </row>
      </sheetData>
      <sheetData sheetId="2596">
        <row r="52">
          <cell r="B52" t="str">
            <v>Main Panel</v>
          </cell>
        </row>
      </sheetData>
      <sheetData sheetId="2597">
        <row r="52">
          <cell r="B52" t="str">
            <v>Main Panel</v>
          </cell>
        </row>
      </sheetData>
      <sheetData sheetId="2598">
        <row r="52">
          <cell r="B52" t="str">
            <v>Main Panel</v>
          </cell>
        </row>
      </sheetData>
      <sheetData sheetId="2599">
        <row r="52">
          <cell r="B52" t="str">
            <v>Main Panel</v>
          </cell>
        </row>
      </sheetData>
      <sheetData sheetId="2600">
        <row r="52">
          <cell r="B52" t="str">
            <v>Main Panel</v>
          </cell>
        </row>
      </sheetData>
      <sheetData sheetId="2601">
        <row r="52">
          <cell r="B52" t="str">
            <v>Main Panel</v>
          </cell>
        </row>
      </sheetData>
      <sheetData sheetId="2602">
        <row r="52">
          <cell r="B52" t="str">
            <v>Main Panel</v>
          </cell>
        </row>
      </sheetData>
      <sheetData sheetId="2603">
        <row r="52">
          <cell r="B52" t="str">
            <v>Main Panel</v>
          </cell>
        </row>
      </sheetData>
      <sheetData sheetId="2604">
        <row r="52">
          <cell r="B52" t="str">
            <v>Main Panel</v>
          </cell>
        </row>
      </sheetData>
      <sheetData sheetId="2605">
        <row r="52">
          <cell r="B52" t="str">
            <v>Main Panel</v>
          </cell>
        </row>
      </sheetData>
      <sheetData sheetId="2606">
        <row r="52">
          <cell r="B52" t="str">
            <v>Main Panel</v>
          </cell>
        </row>
      </sheetData>
      <sheetData sheetId="2607">
        <row r="52">
          <cell r="B52" t="str">
            <v>Main Panel</v>
          </cell>
        </row>
      </sheetData>
      <sheetData sheetId="2608">
        <row r="52">
          <cell r="B52" t="str">
            <v>Main Panel</v>
          </cell>
        </row>
      </sheetData>
      <sheetData sheetId="2609">
        <row r="52">
          <cell r="B52" t="str">
            <v>Main Panel</v>
          </cell>
        </row>
      </sheetData>
      <sheetData sheetId="2610">
        <row r="52">
          <cell r="B52" t="str">
            <v>Main Panel</v>
          </cell>
        </row>
      </sheetData>
      <sheetData sheetId="2611">
        <row r="52">
          <cell r="B52" t="str">
            <v>Main Panel</v>
          </cell>
        </row>
      </sheetData>
      <sheetData sheetId="2612">
        <row r="52">
          <cell r="B52" t="str">
            <v>Main Panel</v>
          </cell>
        </row>
      </sheetData>
      <sheetData sheetId="2613">
        <row r="52">
          <cell r="B52" t="str">
            <v>Main Panel</v>
          </cell>
        </row>
      </sheetData>
      <sheetData sheetId="2614">
        <row r="52">
          <cell r="B52" t="str">
            <v>Main Panel</v>
          </cell>
        </row>
      </sheetData>
      <sheetData sheetId="2615">
        <row r="52">
          <cell r="B52" t="str">
            <v>Main Panel</v>
          </cell>
        </row>
      </sheetData>
      <sheetData sheetId="2616">
        <row r="52">
          <cell r="B52" t="str">
            <v>Main Panel</v>
          </cell>
        </row>
      </sheetData>
      <sheetData sheetId="2617">
        <row r="52">
          <cell r="B52" t="str">
            <v>Main Panel</v>
          </cell>
        </row>
      </sheetData>
      <sheetData sheetId="2618">
        <row r="52">
          <cell r="B52" t="str">
            <v>Main Panel</v>
          </cell>
        </row>
      </sheetData>
      <sheetData sheetId="2619">
        <row r="52">
          <cell r="B52" t="str">
            <v>Main Panel</v>
          </cell>
        </row>
      </sheetData>
      <sheetData sheetId="2620">
        <row r="52">
          <cell r="B52" t="str">
            <v>Main Panel</v>
          </cell>
        </row>
      </sheetData>
      <sheetData sheetId="2621">
        <row r="52">
          <cell r="B52" t="str">
            <v>Main Panel</v>
          </cell>
        </row>
      </sheetData>
      <sheetData sheetId="2622">
        <row r="52">
          <cell r="B52" t="str">
            <v>Main Panel</v>
          </cell>
        </row>
      </sheetData>
      <sheetData sheetId="2623">
        <row r="52">
          <cell r="B52" t="str">
            <v>Main Panel</v>
          </cell>
        </row>
      </sheetData>
      <sheetData sheetId="2624">
        <row r="52">
          <cell r="B52" t="str">
            <v>Main Panel</v>
          </cell>
        </row>
      </sheetData>
      <sheetData sheetId="2625">
        <row r="52">
          <cell r="B52" t="str">
            <v>Main Panel</v>
          </cell>
        </row>
      </sheetData>
      <sheetData sheetId="2626">
        <row r="52">
          <cell r="B52" t="str">
            <v>Main Panel</v>
          </cell>
        </row>
      </sheetData>
      <sheetData sheetId="2627">
        <row r="52">
          <cell r="B52" t="str">
            <v>Main Panel</v>
          </cell>
        </row>
      </sheetData>
      <sheetData sheetId="2628">
        <row r="52">
          <cell r="B52" t="str">
            <v>Main Panel</v>
          </cell>
        </row>
      </sheetData>
      <sheetData sheetId="2629">
        <row r="52">
          <cell r="B52" t="str">
            <v>Main Panel</v>
          </cell>
        </row>
      </sheetData>
      <sheetData sheetId="2630">
        <row r="52">
          <cell r="B52" t="str">
            <v>Main Panel</v>
          </cell>
        </row>
      </sheetData>
      <sheetData sheetId="2631">
        <row r="52">
          <cell r="B52" t="str">
            <v>Main Panel</v>
          </cell>
        </row>
      </sheetData>
      <sheetData sheetId="2632">
        <row r="52">
          <cell r="B52" t="str">
            <v>Main Panel</v>
          </cell>
        </row>
      </sheetData>
      <sheetData sheetId="2633">
        <row r="52">
          <cell r="B52" t="str">
            <v>Main Panel</v>
          </cell>
        </row>
      </sheetData>
      <sheetData sheetId="2634">
        <row r="52">
          <cell r="B52" t="str">
            <v>Main Panel</v>
          </cell>
        </row>
      </sheetData>
      <sheetData sheetId="2635">
        <row r="52">
          <cell r="B52" t="str">
            <v>Main Panel</v>
          </cell>
        </row>
      </sheetData>
      <sheetData sheetId="2636">
        <row r="52">
          <cell r="B52" t="str">
            <v>Main Panel</v>
          </cell>
        </row>
      </sheetData>
      <sheetData sheetId="2637">
        <row r="52">
          <cell r="B52" t="str">
            <v>Main Panel</v>
          </cell>
        </row>
      </sheetData>
      <sheetData sheetId="2638">
        <row r="52">
          <cell r="B52" t="str">
            <v>Main Panel</v>
          </cell>
        </row>
      </sheetData>
      <sheetData sheetId="2639">
        <row r="52">
          <cell r="B52" t="str">
            <v>Main Panel</v>
          </cell>
        </row>
      </sheetData>
      <sheetData sheetId="2640">
        <row r="52">
          <cell r="B52" t="str">
            <v>Main Panel</v>
          </cell>
        </row>
      </sheetData>
      <sheetData sheetId="2641">
        <row r="52">
          <cell r="B52" t="str">
            <v>Main Panel</v>
          </cell>
        </row>
      </sheetData>
      <sheetData sheetId="2642">
        <row r="52">
          <cell r="B52" t="str">
            <v>Main Panel</v>
          </cell>
        </row>
      </sheetData>
      <sheetData sheetId="2643">
        <row r="52">
          <cell r="B52" t="str">
            <v>Main Panel</v>
          </cell>
        </row>
      </sheetData>
      <sheetData sheetId="2644">
        <row r="52">
          <cell r="B52" t="str">
            <v>Main Panel</v>
          </cell>
        </row>
      </sheetData>
      <sheetData sheetId="2645">
        <row r="52">
          <cell r="B52" t="str">
            <v>Main Panel</v>
          </cell>
        </row>
      </sheetData>
      <sheetData sheetId="2646">
        <row r="52">
          <cell r="B52" t="str">
            <v>Main Panel</v>
          </cell>
        </row>
      </sheetData>
      <sheetData sheetId="2647">
        <row r="52">
          <cell r="B52" t="str">
            <v>Main Panel</v>
          </cell>
        </row>
      </sheetData>
      <sheetData sheetId="2648">
        <row r="52">
          <cell r="B52" t="str">
            <v>Main Panel</v>
          </cell>
        </row>
      </sheetData>
      <sheetData sheetId="2649">
        <row r="52">
          <cell r="B52" t="str">
            <v>Main Panel</v>
          </cell>
        </row>
      </sheetData>
      <sheetData sheetId="2650">
        <row r="52">
          <cell r="B52" t="str">
            <v>Main Panel</v>
          </cell>
        </row>
      </sheetData>
      <sheetData sheetId="2651">
        <row r="52">
          <cell r="B52" t="str">
            <v>Main Panel</v>
          </cell>
        </row>
      </sheetData>
      <sheetData sheetId="2652">
        <row r="52">
          <cell r="B52" t="str">
            <v>Main Panel</v>
          </cell>
        </row>
      </sheetData>
      <sheetData sheetId="2653">
        <row r="52">
          <cell r="B52" t="str">
            <v>Main Panel</v>
          </cell>
        </row>
      </sheetData>
      <sheetData sheetId="2654">
        <row r="52">
          <cell r="B52" t="str">
            <v>Main Panel</v>
          </cell>
        </row>
      </sheetData>
      <sheetData sheetId="2655">
        <row r="52">
          <cell r="B52" t="str">
            <v>Main Panel</v>
          </cell>
        </row>
      </sheetData>
      <sheetData sheetId="2656">
        <row r="52">
          <cell r="B52" t="str">
            <v>Main Panel</v>
          </cell>
        </row>
      </sheetData>
      <sheetData sheetId="2657">
        <row r="52">
          <cell r="B52" t="str">
            <v>Main Panel</v>
          </cell>
        </row>
      </sheetData>
      <sheetData sheetId="2658">
        <row r="52">
          <cell r="B52" t="str">
            <v>Main Panel</v>
          </cell>
        </row>
      </sheetData>
      <sheetData sheetId="2659">
        <row r="52">
          <cell r="B52" t="str">
            <v>Main Panel</v>
          </cell>
        </row>
      </sheetData>
      <sheetData sheetId="2660">
        <row r="52">
          <cell r="B52" t="str">
            <v>Main Panel</v>
          </cell>
        </row>
      </sheetData>
      <sheetData sheetId="2661">
        <row r="52">
          <cell r="B52" t="str">
            <v>Main Panel</v>
          </cell>
        </row>
      </sheetData>
      <sheetData sheetId="2662">
        <row r="52">
          <cell r="B52" t="str">
            <v>Main Panel</v>
          </cell>
        </row>
      </sheetData>
      <sheetData sheetId="2663">
        <row r="52">
          <cell r="B52" t="str">
            <v>Main Panel</v>
          </cell>
        </row>
      </sheetData>
      <sheetData sheetId="2664">
        <row r="52">
          <cell r="B52" t="str">
            <v>Main Panel</v>
          </cell>
        </row>
      </sheetData>
      <sheetData sheetId="2665">
        <row r="52">
          <cell r="B52" t="str">
            <v>Main Panel</v>
          </cell>
        </row>
      </sheetData>
      <sheetData sheetId="2666">
        <row r="52">
          <cell r="B52" t="str">
            <v>Main Panel</v>
          </cell>
        </row>
      </sheetData>
      <sheetData sheetId="2667">
        <row r="52">
          <cell r="B52" t="str">
            <v>Main Panel</v>
          </cell>
        </row>
      </sheetData>
      <sheetData sheetId="2668">
        <row r="52">
          <cell r="B52" t="str">
            <v>Main Panel</v>
          </cell>
        </row>
      </sheetData>
      <sheetData sheetId="2669">
        <row r="52">
          <cell r="B52" t="str">
            <v>Main Panel</v>
          </cell>
        </row>
      </sheetData>
      <sheetData sheetId="2670">
        <row r="52">
          <cell r="B52" t="str">
            <v>Main Panel</v>
          </cell>
        </row>
      </sheetData>
      <sheetData sheetId="2671">
        <row r="52">
          <cell r="B52" t="str">
            <v>Main Panel</v>
          </cell>
        </row>
      </sheetData>
      <sheetData sheetId="2672">
        <row r="52">
          <cell r="B52" t="str">
            <v>Main Panel</v>
          </cell>
        </row>
      </sheetData>
      <sheetData sheetId="2673">
        <row r="52">
          <cell r="B52" t="str">
            <v>Main Panel</v>
          </cell>
        </row>
      </sheetData>
      <sheetData sheetId="2674">
        <row r="52">
          <cell r="B52" t="str">
            <v>Main Panel</v>
          </cell>
        </row>
      </sheetData>
      <sheetData sheetId="2675">
        <row r="52">
          <cell r="B52" t="str">
            <v>Main Panel</v>
          </cell>
        </row>
      </sheetData>
      <sheetData sheetId="2676">
        <row r="52">
          <cell r="B52" t="str">
            <v>Main Panel</v>
          </cell>
        </row>
      </sheetData>
      <sheetData sheetId="2677">
        <row r="52">
          <cell r="B52" t="str">
            <v>Main Panel</v>
          </cell>
        </row>
      </sheetData>
      <sheetData sheetId="2678">
        <row r="52">
          <cell r="B52" t="str">
            <v>Main Panel</v>
          </cell>
        </row>
      </sheetData>
      <sheetData sheetId="2679">
        <row r="52">
          <cell r="B52" t="str">
            <v>Main Panel</v>
          </cell>
        </row>
      </sheetData>
      <sheetData sheetId="2680">
        <row r="52">
          <cell r="B52" t="str">
            <v>Main Panel</v>
          </cell>
        </row>
      </sheetData>
      <sheetData sheetId="2681">
        <row r="52">
          <cell r="B52" t="str">
            <v>Main Panel</v>
          </cell>
        </row>
      </sheetData>
      <sheetData sheetId="2682">
        <row r="52">
          <cell r="B52" t="str">
            <v>Main Panel</v>
          </cell>
        </row>
      </sheetData>
      <sheetData sheetId="2683">
        <row r="52">
          <cell r="B52" t="str">
            <v>Main Panel</v>
          </cell>
        </row>
      </sheetData>
      <sheetData sheetId="2684">
        <row r="52">
          <cell r="B52" t="str">
            <v>Main Panel</v>
          </cell>
        </row>
      </sheetData>
      <sheetData sheetId="2685">
        <row r="52">
          <cell r="B52" t="str">
            <v>Main Panel</v>
          </cell>
        </row>
      </sheetData>
      <sheetData sheetId="2686">
        <row r="52">
          <cell r="B52" t="str">
            <v>Main Panel</v>
          </cell>
        </row>
      </sheetData>
      <sheetData sheetId="2687">
        <row r="52">
          <cell r="B52" t="str">
            <v>Main Panel</v>
          </cell>
        </row>
      </sheetData>
      <sheetData sheetId="2688">
        <row r="52">
          <cell r="B52" t="str">
            <v>Main Panel</v>
          </cell>
        </row>
      </sheetData>
      <sheetData sheetId="2689">
        <row r="52">
          <cell r="B52" t="str">
            <v>Main Panel</v>
          </cell>
        </row>
      </sheetData>
      <sheetData sheetId="2690">
        <row r="52">
          <cell r="B52" t="str">
            <v>Main Panel</v>
          </cell>
        </row>
      </sheetData>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ow r="52">
          <cell r="B52" t="str">
            <v>Main Panel</v>
          </cell>
        </row>
      </sheetData>
      <sheetData sheetId="2731">
        <row r="52">
          <cell r="B52" t="str">
            <v>Main Panel</v>
          </cell>
        </row>
      </sheetData>
      <sheetData sheetId="2732">
        <row r="52">
          <cell r="B52" t="str">
            <v>Main Panel</v>
          </cell>
        </row>
      </sheetData>
      <sheetData sheetId="2733">
        <row r="52">
          <cell r="B52" t="str">
            <v>Main Panel</v>
          </cell>
        </row>
      </sheetData>
      <sheetData sheetId="2734">
        <row r="52">
          <cell r="B52" t="str">
            <v>Main Panel</v>
          </cell>
        </row>
      </sheetData>
      <sheetData sheetId="2735">
        <row r="52">
          <cell r="B52" t="str">
            <v>Main Panel</v>
          </cell>
        </row>
      </sheetData>
      <sheetData sheetId="2736">
        <row r="52">
          <cell r="B52" t="str">
            <v>Main Panel</v>
          </cell>
        </row>
      </sheetData>
      <sheetData sheetId="2737">
        <row r="52">
          <cell r="B52" t="str">
            <v>Main Panel</v>
          </cell>
        </row>
      </sheetData>
      <sheetData sheetId="2738">
        <row r="52">
          <cell r="B52" t="str">
            <v>Main Panel</v>
          </cell>
        </row>
      </sheetData>
      <sheetData sheetId="2739">
        <row r="52">
          <cell r="B52" t="str">
            <v>Main Panel</v>
          </cell>
        </row>
      </sheetData>
      <sheetData sheetId="2740">
        <row r="52">
          <cell r="B52" t="str">
            <v>Main Panel</v>
          </cell>
        </row>
      </sheetData>
      <sheetData sheetId="2741">
        <row r="52">
          <cell r="B52" t="str">
            <v>Main Panel</v>
          </cell>
        </row>
      </sheetData>
      <sheetData sheetId="2742">
        <row r="52">
          <cell r="B52" t="str">
            <v>Main Panel</v>
          </cell>
        </row>
      </sheetData>
      <sheetData sheetId="2743">
        <row r="52">
          <cell r="B52" t="str">
            <v>Main Panel</v>
          </cell>
        </row>
      </sheetData>
      <sheetData sheetId="2744">
        <row r="52">
          <cell r="B52" t="str">
            <v>Main Panel</v>
          </cell>
        </row>
      </sheetData>
      <sheetData sheetId="2745">
        <row r="52">
          <cell r="B52" t="str">
            <v>Main Panel</v>
          </cell>
        </row>
      </sheetData>
      <sheetData sheetId="2746">
        <row r="52">
          <cell r="B52" t="str">
            <v>Main Panel</v>
          </cell>
        </row>
      </sheetData>
      <sheetData sheetId="2747">
        <row r="52">
          <cell r="B52" t="str">
            <v>Main Panel</v>
          </cell>
        </row>
      </sheetData>
      <sheetData sheetId="2748">
        <row r="52">
          <cell r="B52" t="str">
            <v>Main Panel</v>
          </cell>
        </row>
      </sheetData>
      <sheetData sheetId="2749">
        <row r="52">
          <cell r="B52" t="str">
            <v>Main Panel</v>
          </cell>
        </row>
      </sheetData>
      <sheetData sheetId="2750">
        <row r="52">
          <cell r="B52" t="str">
            <v>Main Panel</v>
          </cell>
        </row>
      </sheetData>
      <sheetData sheetId="2751">
        <row r="52">
          <cell r="B52" t="str">
            <v>Main Panel</v>
          </cell>
        </row>
      </sheetData>
      <sheetData sheetId="2752">
        <row r="52">
          <cell r="B52" t="str">
            <v>Main Panel</v>
          </cell>
        </row>
      </sheetData>
      <sheetData sheetId="2753">
        <row r="52">
          <cell r="B52" t="str">
            <v>Main Panel</v>
          </cell>
        </row>
      </sheetData>
      <sheetData sheetId="2754">
        <row r="52">
          <cell r="B52" t="str">
            <v>Main Panel</v>
          </cell>
        </row>
      </sheetData>
      <sheetData sheetId="2755">
        <row r="52">
          <cell r="B52" t="str">
            <v>Main Panel</v>
          </cell>
        </row>
      </sheetData>
      <sheetData sheetId="2756">
        <row r="52">
          <cell r="B52" t="str">
            <v>Main Panel</v>
          </cell>
        </row>
      </sheetData>
      <sheetData sheetId="2757">
        <row r="52">
          <cell r="B52" t="str">
            <v>Main Panel</v>
          </cell>
        </row>
      </sheetData>
      <sheetData sheetId="2758">
        <row r="52">
          <cell r="B52" t="str">
            <v>Main Panel</v>
          </cell>
        </row>
      </sheetData>
      <sheetData sheetId="2759">
        <row r="52">
          <cell r="B52" t="str">
            <v>Main Panel</v>
          </cell>
        </row>
      </sheetData>
      <sheetData sheetId="2760">
        <row r="52">
          <cell r="B52" t="str">
            <v>Main Panel</v>
          </cell>
        </row>
      </sheetData>
      <sheetData sheetId="2761">
        <row r="52">
          <cell r="B52" t="str">
            <v>Main Panel</v>
          </cell>
        </row>
      </sheetData>
      <sheetData sheetId="2762">
        <row r="52">
          <cell r="B52" t="str">
            <v>Main Panel</v>
          </cell>
        </row>
      </sheetData>
      <sheetData sheetId="2763">
        <row r="52">
          <cell r="B52" t="str">
            <v>Main Panel</v>
          </cell>
        </row>
      </sheetData>
      <sheetData sheetId="2764">
        <row r="52">
          <cell r="B52" t="str">
            <v>Main Panel</v>
          </cell>
        </row>
      </sheetData>
      <sheetData sheetId="2765">
        <row r="52">
          <cell r="B52" t="str">
            <v>Main Panel</v>
          </cell>
        </row>
      </sheetData>
      <sheetData sheetId="2766">
        <row r="52">
          <cell r="B52" t="str">
            <v>Main Panel</v>
          </cell>
        </row>
      </sheetData>
      <sheetData sheetId="2767">
        <row r="52">
          <cell r="B52" t="str">
            <v>Main Panel</v>
          </cell>
        </row>
      </sheetData>
      <sheetData sheetId="2768">
        <row r="52">
          <cell r="B52" t="str">
            <v>Main Panel</v>
          </cell>
        </row>
      </sheetData>
      <sheetData sheetId="2769">
        <row r="52">
          <cell r="B52" t="str">
            <v>Main Panel</v>
          </cell>
        </row>
      </sheetData>
      <sheetData sheetId="2770">
        <row r="52">
          <cell r="B52" t="str">
            <v>Main Panel</v>
          </cell>
        </row>
      </sheetData>
      <sheetData sheetId="2771">
        <row r="52">
          <cell r="B52" t="str">
            <v>Main Panel</v>
          </cell>
        </row>
      </sheetData>
      <sheetData sheetId="2772">
        <row r="52">
          <cell r="B52" t="str">
            <v>Main Panel</v>
          </cell>
        </row>
      </sheetData>
      <sheetData sheetId="2773">
        <row r="52">
          <cell r="B52" t="str">
            <v>Main Panel</v>
          </cell>
        </row>
      </sheetData>
      <sheetData sheetId="2774">
        <row r="52">
          <cell r="B52" t="str">
            <v>Main Panel</v>
          </cell>
        </row>
      </sheetData>
      <sheetData sheetId="2775">
        <row r="52">
          <cell r="B52" t="str">
            <v>Main Panel</v>
          </cell>
        </row>
      </sheetData>
      <sheetData sheetId="2776">
        <row r="52">
          <cell r="B52" t="str">
            <v>Main Panel</v>
          </cell>
        </row>
      </sheetData>
      <sheetData sheetId="2777">
        <row r="52">
          <cell r="B52" t="str">
            <v>Main Panel</v>
          </cell>
        </row>
      </sheetData>
      <sheetData sheetId="2778">
        <row r="52">
          <cell r="B52" t="str">
            <v>Main Panel</v>
          </cell>
        </row>
      </sheetData>
      <sheetData sheetId="2779">
        <row r="52">
          <cell r="B52" t="str">
            <v>Main Panel</v>
          </cell>
        </row>
      </sheetData>
      <sheetData sheetId="2780">
        <row r="52">
          <cell r="B52" t="str">
            <v>Main Panel</v>
          </cell>
        </row>
      </sheetData>
      <sheetData sheetId="2781">
        <row r="52">
          <cell r="B52" t="str">
            <v>Main Panel</v>
          </cell>
        </row>
      </sheetData>
      <sheetData sheetId="2782">
        <row r="52">
          <cell r="B52" t="str">
            <v>Main Panel</v>
          </cell>
        </row>
      </sheetData>
      <sheetData sheetId="2783">
        <row r="52">
          <cell r="B52" t="str">
            <v>Main Panel</v>
          </cell>
        </row>
      </sheetData>
      <sheetData sheetId="2784">
        <row r="52">
          <cell r="B52" t="str">
            <v>Main Panel</v>
          </cell>
        </row>
      </sheetData>
      <sheetData sheetId="2785">
        <row r="52">
          <cell r="B52" t="str">
            <v>Main Panel</v>
          </cell>
        </row>
      </sheetData>
      <sheetData sheetId="2786">
        <row r="52">
          <cell r="B52" t="str">
            <v>Main Panel</v>
          </cell>
        </row>
      </sheetData>
      <sheetData sheetId="2787">
        <row r="52">
          <cell r="B52" t="str">
            <v>Main Panel</v>
          </cell>
        </row>
      </sheetData>
      <sheetData sheetId="2788">
        <row r="52">
          <cell r="B52" t="str">
            <v>Main Panel</v>
          </cell>
        </row>
      </sheetData>
      <sheetData sheetId="2789">
        <row r="52">
          <cell r="B52" t="str">
            <v>Main Panel</v>
          </cell>
        </row>
      </sheetData>
      <sheetData sheetId="2790">
        <row r="52">
          <cell r="B52" t="str">
            <v>Main Panel</v>
          </cell>
        </row>
      </sheetData>
      <sheetData sheetId="2791">
        <row r="52">
          <cell r="B52" t="str">
            <v>Main Panel</v>
          </cell>
        </row>
      </sheetData>
      <sheetData sheetId="2792">
        <row r="52">
          <cell r="B52" t="str">
            <v>Main Panel</v>
          </cell>
        </row>
      </sheetData>
      <sheetData sheetId="2793">
        <row r="52">
          <cell r="B52" t="str">
            <v>Main Panel</v>
          </cell>
        </row>
      </sheetData>
      <sheetData sheetId="2794">
        <row r="52">
          <cell r="B52" t="str">
            <v>Main Panel</v>
          </cell>
        </row>
      </sheetData>
      <sheetData sheetId="2795">
        <row r="52">
          <cell r="B52" t="str">
            <v>Main Panel</v>
          </cell>
        </row>
      </sheetData>
      <sheetData sheetId="2796">
        <row r="52">
          <cell r="B52" t="str">
            <v>Main Panel</v>
          </cell>
        </row>
      </sheetData>
      <sheetData sheetId="2797">
        <row r="52">
          <cell r="B52" t="str">
            <v>Main Panel</v>
          </cell>
        </row>
      </sheetData>
      <sheetData sheetId="2798">
        <row r="52">
          <cell r="B52" t="str">
            <v>Main Panel</v>
          </cell>
        </row>
      </sheetData>
      <sheetData sheetId="2799">
        <row r="52">
          <cell r="B52" t="str">
            <v>Main Panel</v>
          </cell>
        </row>
      </sheetData>
      <sheetData sheetId="2800">
        <row r="52">
          <cell r="B52" t="str">
            <v>Main Panel</v>
          </cell>
        </row>
      </sheetData>
      <sheetData sheetId="2801">
        <row r="52">
          <cell r="B52" t="str">
            <v>Main Panel</v>
          </cell>
        </row>
      </sheetData>
      <sheetData sheetId="2802">
        <row r="52">
          <cell r="B52" t="str">
            <v>Main Panel</v>
          </cell>
        </row>
      </sheetData>
      <sheetData sheetId="2803">
        <row r="52">
          <cell r="B52" t="str">
            <v>Main Panel</v>
          </cell>
        </row>
      </sheetData>
      <sheetData sheetId="2804">
        <row r="52">
          <cell r="B52" t="str">
            <v>Main Panel</v>
          </cell>
        </row>
      </sheetData>
      <sheetData sheetId="2805">
        <row r="52">
          <cell r="B52" t="str">
            <v>Main Panel</v>
          </cell>
        </row>
      </sheetData>
      <sheetData sheetId="2806">
        <row r="52">
          <cell r="B52" t="str">
            <v>Main Panel</v>
          </cell>
        </row>
      </sheetData>
      <sheetData sheetId="2807">
        <row r="52">
          <cell r="B52" t="str">
            <v>Main Panel</v>
          </cell>
        </row>
      </sheetData>
      <sheetData sheetId="2808">
        <row r="52">
          <cell r="B52" t="str">
            <v>Main Panel</v>
          </cell>
        </row>
      </sheetData>
      <sheetData sheetId="2809">
        <row r="52">
          <cell r="B52" t="str">
            <v>Main Panel</v>
          </cell>
        </row>
      </sheetData>
      <sheetData sheetId="2810">
        <row r="52">
          <cell r="B52" t="str">
            <v>Main Panel</v>
          </cell>
        </row>
      </sheetData>
      <sheetData sheetId="2811">
        <row r="52">
          <cell r="B52" t="str">
            <v>Main Panel</v>
          </cell>
        </row>
      </sheetData>
      <sheetData sheetId="2812">
        <row r="52">
          <cell r="B52" t="str">
            <v>Main Panel</v>
          </cell>
        </row>
      </sheetData>
      <sheetData sheetId="2813">
        <row r="52">
          <cell r="B52" t="str">
            <v>Main Panel</v>
          </cell>
        </row>
      </sheetData>
      <sheetData sheetId="2814">
        <row r="52">
          <cell r="B52" t="str">
            <v>Main Panel</v>
          </cell>
        </row>
      </sheetData>
      <sheetData sheetId="2815">
        <row r="52">
          <cell r="B52" t="str">
            <v>Main Panel</v>
          </cell>
        </row>
      </sheetData>
      <sheetData sheetId="2816">
        <row r="52">
          <cell r="B52" t="str">
            <v>Main Panel</v>
          </cell>
        </row>
      </sheetData>
      <sheetData sheetId="2817">
        <row r="52">
          <cell r="B52" t="str">
            <v>Main Panel</v>
          </cell>
        </row>
      </sheetData>
      <sheetData sheetId="2818">
        <row r="52">
          <cell r="B52" t="str">
            <v>Main Panel</v>
          </cell>
        </row>
      </sheetData>
      <sheetData sheetId="2819">
        <row r="52">
          <cell r="B52" t="str">
            <v>Main Panel</v>
          </cell>
        </row>
      </sheetData>
      <sheetData sheetId="2820">
        <row r="52">
          <cell r="B52" t="str">
            <v>Main Panel</v>
          </cell>
        </row>
      </sheetData>
      <sheetData sheetId="2821">
        <row r="52">
          <cell r="B52" t="str">
            <v>Main Panel</v>
          </cell>
        </row>
      </sheetData>
      <sheetData sheetId="2822">
        <row r="52">
          <cell r="B52" t="str">
            <v>Main Panel</v>
          </cell>
        </row>
      </sheetData>
      <sheetData sheetId="2823">
        <row r="52">
          <cell r="B52" t="str">
            <v>Main Panel</v>
          </cell>
        </row>
      </sheetData>
      <sheetData sheetId="2824">
        <row r="52">
          <cell r="B52" t="str">
            <v>Main Panel</v>
          </cell>
        </row>
      </sheetData>
      <sheetData sheetId="2825">
        <row r="52">
          <cell r="B52" t="str">
            <v>Main Panel</v>
          </cell>
        </row>
      </sheetData>
      <sheetData sheetId="2826">
        <row r="52">
          <cell r="B52" t="str">
            <v>Main Panel</v>
          </cell>
        </row>
      </sheetData>
      <sheetData sheetId="2827">
        <row r="52">
          <cell r="B52" t="str">
            <v>Main Panel</v>
          </cell>
        </row>
      </sheetData>
      <sheetData sheetId="2828">
        <row r="52">
          <cell r="B52" t="str">
            <v>Main Panel</v>
          </cell>
        </row>
      </sheetData>
      <sheetData sheetId="2829">
        <row r="52">
          <cell r="B52" t="str">
            <v>Main Panel</v>
          </cell>
        </row>
      </sheetData>
      <sheetData sheetId="2830">
        <row r="52">
          <cell r="B52" t="str">
            <v>Main Panel</v>
          </cell>
        </row>
      </sheetData>
      <sheetData sheetId="2831">
        <row r="52">
          <cell r="B52" t="str">
            <v>Main Panel</v>
          </cell>
        </row>
      </sheetData>
      <sheetData sheetId="2832">
        <row r="52">
          <cell r="B52" t="str">
            <v>Main Panel</v>
          </cell>
        </row>
      </sheetData>
      <sheetData sheetId="2833">
        <row r="52">
          <cell r="B52" t="str">
            <v>Main Panel</v>
          </cell>
        </row>
      </sheetData>
      <sheetData sheetId="2834">
        <row r="52">
          <cell r="B52" t="str">
            <v>Main Panel</v>
          </cell>
        </row>
      </sheetData>
      <sheetData sheetId="2835">
        <row r="52">
          <cell r="B52" t="str">
            <v>Main Panel</v>
          </cell>
        </row>
      </sheetData>
      <sheetData sheetId="2836">
        <row r="52">
          <cell r="B52" t="str">
            <v>Main Panel</v>
          </cell>
        </row>
      </sheetData>
      <sheetData sheetId="2837">
        <row r="52">
          <cell r="B52" t="str">
            <v>Main Panel</v>
          </cell>
        </row>
      </sheetData>
      <sheetData sheetId="2838">
        <row r="52">
          <cell r="B52" t="str">
            <v>Main Panel</v>
          </cell>
        </row>
      </sheetData>
      <sheetData sheetId="2839">
        <row r="52">
          <cell r="B52" t="str">
            <v>Main Panel</v>
          </cell>
        </row>
      </sheetData>
      <sheetData sheetId="2840">
        <row r="52">
          <cell r="B52" t="str">
            <v>Main Panel</v>
          </cell>
        </row>
      </sheetData>
      <sheetData sheetId="2841">
        <row r="52">
          <cell r="B52" t="str">
            <v>Main Panel</v>
          </cell>
        </row>
      </sheetData>
      <sheetData sheetId="2842">
        <row r="52">
          <cell r="B52" t="str">
            <v>Main Panel</v>
          </cell>
        </row>
      </sheetData>
      <sheetData sheetId="2843">
        <row r="52">
          <cell r="B52" t="str">
            <v>Main Panel</v>
          </cell>
        </row>
      </sheetData>
      <sheetData sheetId="2844">
        <row r="52">
          <cell r="B52" t="str">
            <v>Main Panel</v>
          </cell>
        </row>
      </sheetData>
      <sheetData sheetId="2845">
        <row r="52">
          <cell r="B52" t="str">
            <v>Main Panel</v>
          </cell>
        </row>
      </sheetData>
      <sheetData sheetId="2846">
        <row r="52">
          <cell r="B52" t="str">
            <v>Main Panel</v>
          </cell>
        </row>
      </sheetData>
      <sheetData sheetId="2847">
        <row r="52">
          <cell r="B52" t="str">
            <v>Main Panel</v>
          </cell>
        </row>
      </sheetData>
      <sheetData sheetId="2848">
        <row r="52">
          <cell r="B52" t="str">
            <v>Main Panel</v>
          </cell>
        </row>
      </sheetData>
      <sheetData sheetId="2849">
        <row r="52">
          <cell r="B52" t="str">
            <v>Main Panel</v>
          </cell>
        </row>
      </sheetData>
      <sheetData sheetId="2850">
        <row r="52">
          <cell r="B52" t="str">
            <v>Main Panel</v>
          </cell>
        </row>
      </sheetData>
      <sheetData sheetId="2851">
        <row r="52">
          <cell r="B52" t="str">
            <v>Main Panel</v>
          </cell>
        </row>
      </sheetData>
      <sheetData sheetId="2852">
        <row r="52">
          <cell r="B52" t="str">
            <v>Main Panel</v>
          </cell>
        </row>
      </sheetData>
      <sheetData sheetId="2853">
        <row r="52">
          <cell r="B52" t="str">
            <v>Main Panel</v>
          </cell>
        </row>
      </sheetData>
      <sheetData sheetId="2854">
        <row r="52">
          <cell r="B52" t="str">
            <v>Main Panel</v>
          </cell>
        </row>
      </sheetData>
      <sheetData sheetId="2855">
        <row r="52">
          <cell r="B52" t="str">
            <v>Main Panel</v>
          </cell>
        </row>
      </sheetData>
      <sheetData sheetId="2856">
        <row r="52">
          <cell r="B52" t="str">
            <v>Main Panel</v>
          </cell>
        </row>
      </sheetData>
      <sheetData sheetId="2857">
        <row r="52">
          <cell r="B52" t="str">
            <v>Main Panel</v>
          </cell>
        </row>
      </sheetData>
      <sheetData sheetId="2858">
        <row r="52">
          <cell r="B52" t="str">
            <v>Main Panel</v>
          </cell>
        </row>
      </sheetData>
      <sheetData sheetId="2859">
        <row r="52">
          <cell r="B52" t="str">
            <v>Main Panel</v>
          </cell>
        </row>
      </sheetData>
      <sheetData sheetId="2860">
        <row r="52">
          <cell r="B52" t="str">
            <v>Main Panel</v>
          </cell>
        </row>
      </sheetData>
      <sheetData sheetId="2861">
        <row r="52">
          <cell r="B52" t="str">
            <v>Main Panel</v>
          </cell>
        </row>
      </sheetData>
      <sheetData sheetId="2862">
        <row r="52">
          <cell r="B52" t="str">
            <v>Main Panel</v>
          </cell>
        </row>
      </sheetData>
      <sheetData sheetId="2863">
        <row r="52">
          <cell r="B52" t="str">
            <v>Main Panel</v>
          </cell>
        </row>
      </sheetData>
      <sheetData sheetId="2864">
        <row r="52">
          <cell r="B52" t="str">
            <v>Main Panel</v>
          </cell>
        </row>
      </sheetData>
      <sheetData sheetId="2865">
        <row r="52">
          <cell r="B52" t="str">
            <v>Main Panel</v>
          </cell>
        </row>
      </sheetData>
      <sheetData sheetId="2866">
        <row r="52">
          <cell r="B52" t="str">
            <v>Main Panel</v>
          </cell>
        </row>
      </sheetData>
      <sheetData sheetId="2867">
        <row r="52">
          <cell r="B52" t="str">
            <v>Main Panel</v>
          </cell>
        </row>
      </sheetData>
      <sheetData sheetId="2868">
        <row r="52">
          <cell r="B52" t="str">
            <v>Main Panel</v>
          </cell>
        </row>
      </sheetData>
      <sheetData sheetId="2869">
        <row r="52">
          <cell r="B52" t="str">
            <v>Main Panel</v>
          </cell>
        </row>
      </sheetData>
      <sheetData sheetId="2870">
        <row r="52">
          <cell r="B52" t="str">
            <v>Main Panel</v>
          </cell>
        </row>
      </sheetData>
      <sheetData sheetId="2871">
        <row r="52">
          <cell r="B52" t="str">
            <v>Main Panel</v>
          </cell>
        </row>
      </sheetData>
      <sheetData sheetId="2872">
        <row r="52">
          <cell r="B52" t="str">
            <v>Main Panel</v>
          </cell>
        </row>
      </sheetData>
      <sheetData sheetId="2873">
        <row r="52">
          <cell r="B52" t="str">
            <v>Main Panel</v>
          </cell>
        </row>
      </sheetData>
      <sheetData sheetId="2874">
        <row r="52">
          <cell r="B52" t="str">
            <v>Main Panel</v>
          </cell>
        </row>
      </sheetData>
      <sheetData sheetId="2875">
        <row r="52">
          <cell r="B52" t="str">
            <v>Main Panel</v>
          </cell>
        </row>
      </sheetData>
      <sheetData sheetId="2876">
        <row r="52">
          <cell r="B52" t="str">
            <v>Main Panel</v>
          </cell>
        </row>
      </sheetData>
      <sheetData sheetId="2877">
        <row r="52">
          <cell r="B52" t="str">
            <v>Main Panel</v>
          </cell>
        </row>
      </sheetData>
      <sheetData sheetId="2878">
        <row r="52">
          <cell r="B52" t="str">
            <v>Main Panel</v>
          </cell>
        </row>
      </sheetData>
      <sheetData sheetId="2879">
        <row r="52">
          <cell r="B52" t="str">
            <v>Main Panel</v>
          </cell>
        </row>
      </sheetData>
      <sheetData sheetId="2880">
        <row r="52">
          <cell r="B52" t="str">
            <v>Main Panel</v>
          </cell>
        </row>
      </sheetData>
      <sheetData sheetId="2881">
        <row r="52">
          <cell r="B52" t="str">
            <v>Main Panel</v>
          </cell>
        </row>
      </sheetData>
      <sheetData sheetId="2882">
        <row r="52">
          <cell r="B52" t="str">
            <v>Main Panel</v>
          </cell>
        </row>
      </sheetData>
      <sheetData sheetId="2883">
        <row r="52">
          <cell r="B52" t="str">
            <v>Main Panel</v>
          </cell>
        </row>
      </sheetData>
      <sheetData sheetId="2884">
        <row r="52">
          <cell r="B52" t="str">
            <v>Main Panel</v>
          </cell>
        </row>
      </sheetData>
      <sheetData sheetId="2885">
        <row r="52">
          <cell r="B52" t="str">
            <v>Main Panel</v>
          </cell>
        </row>
      </sheetData>
      <sheetData sheetId="2886">
        <row r="52">
          <cell r="B52" t="str">
            <v>Main Panel</v>
          </cell>
        </row>
      </sheetData>
      <sheetData sheetId="2887">
        <row r="52">
          <cell r="B52" t="str">
            <v>Main Panel</v>
          </cell>
        </row>
      </sheetData>
      <sheetData sheetId="2888">
        <row r="52">
          <cell r="B52" t="str">
            <v>Main Panel</v>
          </cell>
        </row>
      </sheetData>
      <sheetData sheetId="2889">
        <row r="52">
          <cell r="B52" t="str">
            <v>Main Panel</v>
          </cell>
        </row>
      </sheetData>
      <sheetData sheetId="2890">
        <row r="52">
          <cell r="B52" t="str">
            <v>Main Panel</v>
          </cell>
        </row>
      </sheetData>
      <sheetData sheetId="2891">
        <row r="52">
          <cell r="B52" t="str">
            <v>Main Panel</v>
          </cell>
        </row>
      </sheetData>
      <sheetData sheetId="2892">
        <row r="52">
          <cell r="B52" t="str">
            <v>Main Panel</v>
          </cell>
        </row>
      </sheetData>
      <sheetData sheetId="2893">
        <row r="52">
          <cell r="B52" t="str">
            <v>Main Panel</v>
          </cell>
        </row>
      </sheetData>
      <sheetData sheetId="2894">
        <row r="52">
          <cell r="B52" t="str">
            <v>Main Panel</v>
          </cell>
        </row>
      </sheetData>
      <sheetData sheetId="2895">
        <row r="52">
          <cell r="B52" t="str">
            <v>Main Panel</v>
          </cell>
        </row>
      </sheetData>
      <sheetData sheetId="2896">
        <row r="52">
          <cell r="B52" t="str">
            <v>Main Panel</v>
          </cell>
        </row>
      </sheetData>
      <sheetData sheetId="2897">
        <row r="52">
          <cell r="B52" t="str">
            <v>Main Panel</v>
          </cell>
        </row>
      </sheetData>
      <sheetData sheetId="2898">
        <row r="52">
          <cell r="B52" t="str">
            <v>Main Panel</v>
          </cell>
        </row>
      </sheetData>
      <sheetData sheetId="2899">
        <row r="52">
          <cell r="B52" t="str">
            <v>Main Panel</v>
          </cell>
        </row>
      </sheetData>
      <sheetData sheetId="2900">
        <row r="52">
          <cell r="B52" t="str">
            <v>Main Panel</v>
          </cell>
        </row>
      </sheetData>
      <sheetData sheetId="2901">
        <row r="52">
          <cell r="B52" t="str">
            <v>Main Panel</v>
          </cell>
        </row>
      </sheetData>
      <sheetData sheetId="2902">
        <row r="52">
          <cell r="B52" t="str">
            <v>Main Panel</v>
          </cell>
        </row>
      </sheetData>
      <sheetData sheetId="2903">
        <row r="52">
          <cell r="B52" t="str">
            <v>Main Panel</v>
          </cell>
        </row>
      </sheetData>
      <sheetData sheetId="2904">
        <row r="52">
          <cell r="B52" t="str">
            <v>Main Panel</v>
          </cell>
        </row>
      </sheetData>
      <sheetData sheetId="2905">
        <row r="52">
          <cell r="B52" t="str">
            <v>Main Panel</v>
          </cell>
        </row>
      </sheetData>
      <sheetData sheetId="2906">
        <row r="52">
          <cell r="B52" t="str">
            <v>Main Panel</v>
          </cell>
        </row>
      </sheetData>
      <sheetData sheetId="2907">
        <row r="52">
          <cell r="B52" t="str">
            <v>Main Panel</v>
          </cell>
        </row>
      </sheetData>
      <sheetData sheetId="2908">
        <row r="52">
          <cell r="B52" t="str">
            <v>Main Panel</v>
          </cell>
        </row>
      </sheetData>
      <sheetData sheetId="2909">
        <row r="52">
          <cell r="B52" t="str">
            <v>Main Panel</v>
          </cell>
        </row>
      </sheetData>
      <sheetData sheetId="2910">
        <row r="52">
          <cell r="B52" t="str">
            <v>Main Panel</v>
          </cell>
        </row>
      </sheetData>
      <sheetData sheetId="2911">
        <row r="52">
          <cell r="B52" t="str">
            <v>Main Panel</v>
          </cell>
        </row>
      </sheetData>
      <sheetData sheetId="2912">
        <row r="52">
          <cell r="B52" t="str">
            <v>Main Panel</v>
          </cell>
        </row>
      </sheetData>
      <sheetData sheetId="2913">
        <row r="52">
          <cell r="B52" t="str">
            <v>Main Panel</v>
          </cell>
        </row>
      </sheetData>
      <sheetData sheetId="2914">
        <row r="52">
          <cell r="B52" t="str">
            <v>Main Panel</v>
          </cell>
        </row>
      </sheetData>
      <sheetData sheetId="2915">
        <row r="52">
          <cell r="B52" t="str">
            <v>Main Panel</v>
          </cell>
        </row>
      </sheetData>
      <sheetData sheetId="2916">
        <row r="52">
          <cell r="B52" t="str">
            <v>Main Panel</v>
          </cell>
        </row>
      </sheetData>
      <sheetData sheetId="2917">
        <row r="52">
          <cell r="B52" t="str">
            <v>Main Panel</v>
          </cell>
        </row>
      </sheetData>
      <sheetData sheetId="2918">
        <row r="52">
          <cell r="B52" t="str">
            <v>Main Panel</v>
          </cell>
        </row>
      </sheetData>
      <sheetData sheetId="2919">
        <row r="52">
          <cell r="B52" t="str">
            <v>Main Panel</v>
          </cell>
        </row>
      </sheetData>
      <sheetData sheetId="2920">
        <row r="52">
          <cell r="B52" t="str">
            <v>Main Panel</v>
          </cell>
        </row>
      </sheetData>
      <sheetData sheetId="2921">
        <row r="52">
          <cell r="B52" t="str">
            <v>Main Panel</v>
          </cell>
        </row>
      </sheetData>
      <sheetData sheetId="2922">
        <row r="52">
          <cell r="B52" t="str">
            <v>Main Panel</v>
          </cell>
        </row>
      </sheetData>
      <sheetData sheetId="2923">
        <row r="52">
          <cell r="B52" t="str">
            <v>Main Panel</v>
          </cell>
        </row>
      </sheetData>
      <sheetData sheetId="2924">
        <row r="52">
          <cell r="B52" t="str">
            <v>Main Panel</v>
          </cell>
        </row>
      </sheetData>
      <sheetData sheetId="2925">
        <row r="52">
          <cell r="B52" t="str">
            <v>Main Panel</v>
          </cell>
        </row>
      </sheetData>
      <sheetData sheetId="2926">
        <row r="52">
          <cell r="B52" t="str">
            <v>Main Panel</v>
          </cell>
        </row>
      </sheetData>
      <sheetData sheetId="2927">
        <row r="52">
          <cell r="B52" t="str">
            <v>Main Panel</v>
          </cell>
        </row>
      </sheetData>
      <sheetData sheetId="2928">
        <row r="52">
          <cell r="B52" t="str">
            <v>Main Panel</v>
          </cell>
        </row>
      </sheetData>
      <sheetData sheetId="2929">
        <row r="52">
          <cell r="B52" t="str">
            <v>Main Panel</v>
          </cell>
        </row>
      </sheetData>
      <sheetData sheetId="2930">
        <row r="52">
          <cell r="B52" t="str">
            <v>Main Panel</v>
          </cell>
        </row>
      </sheetData>
      <sheetData sheetId="2931">
        <row r="52">
          <cell r="B52" t="str">
            <v>Main Panel</v>
          </cell>
        </row>
      </sheetData>
      <sheetData sheetId="2932">
        <row r="52">
          <cell r="B52" t="str">
            <v>Main Panel</v>
          </cell>
        </row>
      </sheetData>
      <sheetData sheetId="2933">
        <row r="52">
          <cell r="B52" t="str">
            <v>Main Panel</v>
          </cell>
        </row>
      </sheetData>
      <sheetData sheetId="2934">
        <row r="52">
          <cell r="B52" t="str">
            <v>Main Panel</v>
          </cell>
        </row>
      </sheetData>
      <sheetData sheetId="2935">
        <row r="52">
          <cell r="B52" t="str">
            <v>Main Panel</v>
          </cell>
        </row>
      </sheetData>
      <sheetData sheetId="2936">
        <row r="52">
          <cell r="B52" t="str">
            <v>Main Panel</v>
          </cell>
        </row>
      </sheetData>
      <sheetData sheetId="2937">
        <row r="52">
          <cell r="B52" t="str">
            <v>Main Panel</v>
          </cell>
        </row>
      </sheetData>
      <sheetData sheetId="2938">
        <row r="52">
          <cell r="B52" t="str">
            <v>Main Panel</v>
          </cell>
        </row>
      </sheetData>
      <sheetData sheetId="2939">
        <row r="52">
          <cell r="B52" t="str">
            <v>Main Panel</v>
          </cell>
        </row>
      </sheetData>
      <sheetData sheetId="2940">
        <row r="52">
          <cell r="B52" t="str">
            <v>Main Panel</v>
          </cell>
        </row>
      </sheetData>
      <sheetData sheetId="2941">
        <row r="52">
          <cell r="B52" t="str">
            <v>Main Panel</v>
          </cell>
        </row>
      </sheetData>
      <sheetData sheetId="2942">
        <row r="52">
          <cell r="B52" t="str">
            <v>Main Panel</v>
          </cell>
        </row>
      </sheetData>
      <sheetData sheetId="2943">
        <row r="52">
          <cell r="B52" t="str">
            <v>Main Panel</v>
          </cell>
        </row>
      </sheetData>
      <sheetData sheetId="2944">
        <row r="52">
          <cell r="B52" t="str">
            <v>Main Panel</v>
          </cell>
        </row>
      </sheetData>
      <sheetData sheetId="2945">
        <row r="52">
          <cell r="B52" t="str">
            <v>Main Panel</v>
          </cell>
        </row>
      </sheetData>
      <sheetData sheetId="2946">
        <row r="52">
          <cell r="B52" t="str">
            <v>Main Panel</v>
          </cell>
        </row>
      </sheetData>
      <sheetData sheetId="2947">
        <row r="52">
          <cell r="B52" t="str">
            <v>Main Panel</v>
          </cell>
        </row>
      </sheetData>
      <sheetData sheetId="2948">
        <row r="52">
          <cell r="B52" t="str">
            <v>Main Panel</v>
          </cell>
        </row>
      </sheetData>
      <sheetData sheetId="2949">
        <row r="52">
          <cell r="B52" t="str">
            <v>Main Panel</v>
          </cell>
        </row>
      </sheetData>
      <sheetData sheetId="2950">
        <row r="52">
          <cell r="B52" t="str">
            <v>Main Panel</v>
          </cell>
        </row>
      </sheetData>
      <sheetData sheetId="2951">
        <row r="52">
          <cell r="B52" t="str">
            <v>Main Panel</v>
          </cell>
        </row>
      </sheetData>
      <sheetData sheetId="2952">
        <row r="52">
          <cell r="B52" t="str">
            <v>Main Panel</v>
          </cell>
        </row>
      </sheetData>
      <sheetData sheetId="2953">
        <row r="52">
          <cell r="B52" t="str">
            <v>Main Panel</v>
          </cell>
        </row>
      </sheetData>
      <sheetData sheetId="2954">
        <row r="52">
          <cell r="B52" t="str">
            <v>Main Panel</v>
          </cell>
        </row>
      </sheetData>
      <sheetData sheetId="2955">
        <row r="52">
          <cell r="B52" t="str">
            <v>Main Panel</v>
          </cell>
        </row>
      </sheetData>
      <sheetData sheetId="2956">
        <row r="52">
          <cell r="B52" t="str">
            <v>Main Panel</v>
          </cell>
        </row>
      </sheetData>
      <sheetData sheetId="2957">
        <row r="52">
          <cell r="B52" t="str">
            <v>Main Panel</v>
          </cell>
        </row>
      </sheetData>
      <sheetData sheetId="2958">
        <row r="52">
          <cell r="B52" t="str">
            <v>Main Panel</v>
          </cell>
        </row>
      </sheetData>
      <sheetData sheetId="2959">
        <row r="52">
          <cell r="B52" t="str">
            <v>Main Panel</v>
          </cell>
        </row>
      </sheetData>
      <sheetData sheetId="2960">
        <row r="52">
          <cell r="B52" t="str">
            <v>Main Panel</v>
          </cell>
        </row>
      </sheetData>
      <sheetData sheetId="2961">
        <row r="52">
          <cell r="B52" t="str">
            <v>Main Panel</v>
          </cell>
        </row>
      </sheetData>
      <sheetData sheetId="2962">
        <row r="52">
          <cell r="B52" t="str">
            <v>Main Panel</v>
          </cell>
        </row>
      </sheetData>
      <sheetData sheetId="2963">
        <row r="52">
          <cell r="B52" t="str">
            <v>Main Panel</v>
          </cell>
        </row>
      </sheetData>
      <sheetData sheetId="2964">
        <row r="52">
          <cell r="B52" t="str">
            <v>Main Panel</v>
          </cell>
        </row>
      </sheetData>
      <sheetData sheetId="2965">
        <row r="52">
          <cell r="B52" t="str">
            <v>Main Panel</v>
          </cell>
        </row>
      </sheetData>
      <sheetData sheetId="2966">
        <row r="52">
          <cell r="B52" t="str">
            <v>Main Panel</v>
          </cell>
        </row>
      </sheetData>
      <sheetData sheetId="2967">
        <row r="52">
          <cell r="B52" t="str">
            <v>Main Panel</v>
          </cell>
        </row>
      </sheetData>
      <sheetData sheetId="2968">
        <row r="52">
          <cell r="B52" t="str">
            <v>Main Panel</v>
          </cell>
        </row>
      </sheetData>
      <sheetData sheetId="2969">
        <row r="52">
          <cell r="B52" t="str">
            <v>Main Panel</v>
          </cell>
        </row>
      </sheetData>
      <sheetData sheetId="2970">
        <row r="52">
          <cell r="B52" t="str">
            <v>Main Panel</v>
          </cell>
        </row>
      </sheetData>
      <sheetData sheetId="2971">
        <row r="52">
          <cell r="B52" t="str">
            <v>Main Panel</v>
          </cell>
        </row>
      </sheetData>
      <sheetData sheetId="2972">
        <row r="52">
          <cell r="B52" t="str">
            <v>Main Panel</v>
          </cell>
        </row>
      </sheetData>
      <sheetData sheetId="2973">
        <row r="52">
          <cell r="B52" t="str">
            <v>Main Panel</v>
          </cell>
        </row>
      </sheetData>
      <sheetData sheetId="2974">
        <row r="52">
          <cell r="B52" t="str">
            <v>Main Panel</v>
          </cell>
        </row>
      </sheetData>
      <sheetData sheetId="2975">
        <row r="52">
          <cell r="B52" t="str">
            <v>Main Panel</v>
          </cell>
        </row>
      </sheetData>
      <sheetData sheetId="2976">
        <row r="52">
          <cell r="B52" t="str">
            <v>Main Panel</v>
          </cell>
        </row>
      </sheetData>
      <sheetData sheetId="2977">
        <row r="52">
          <cell r="B52" t="str">
            <v>Main Panel</v>
          </cell>
        </row>
      </sheetData>
      <sheetData sheetId="2978">
        <row r="52">
          <cell r="B52" t="str">
            <v>Main Panel</v>
          </cell>
        </row>
      </sheetData>
      <sheetData sheetId="2979">
        <row r="52">
          <cell r="B52" t="str">
            <v>Main Panel</v>
          </cell>
        </row>
      </sheetData>
      <sheetData sheetId="2980">
        <row r="52">
          <cell r="B52" t="str">
            <v>Main Panel</v>
          </cell>
        </row>
      </sheetData>
      <sheetData sheetId="2981">
        <row r="52">
          <cell r="B52" t="str">
            <v>Main Panel</v>
          </cell>
        </row>
      </sheetData>
      <sheetData sheetId="2982">
        <row r="52">
          <cell r="B52" t="str">
            <v>Main Panel</v>
          </cell>
        </row>
      </sheetData>
      <sheetData sheetId="2983">
        <row r="52">
          <cell r="B52" t="str">
            <v>Main Panel</v>
          </cell>
        </row>
      </sheetData>
      <sheetData sheetId="2984">
        <row r="52">
          <cell r="B52" t="str">
            <v>Main Panel</v>
          </cell>
        </row>
      </sheetData>
      <sheetData sheetId="2985">
        <row r="52">
          <cell r="B52" t="str">
            <v>Main Panel</v>
          </cell>
        </row>
      </sheetData>
      <sheetData sheetId="2986">
        <row r="52">
          <cell r="B52" t="str">
            <v>Main Panel</v>
          </cell>
        </row>
      </sheetData>
      <sheetData sheetId="2987">
        <row r="52">
          <cell r="B52" t="str">
            <v>Main Panel</v>
          </cell>
        </row>
      </sheetData>
      <sheetData sheetId="2988">
        <row r="52">
          <cell r="B52" t="str">
            <v>Main Panel</v>
          </cell>
        </row>
      </sheetData>
      <sheetData sheetId="2989">
        <row r="52">
          <cell r="B52" t="str">
            <v>Main Panel</v>
          </cell>
        </row>
      </sheetData>
      <sheetData sheetId="2990">
        <row r="52">
          <cell r="B52" t="str">
            <v>Main Panel</v>
          </cell>
        </row>
      </sheetData>
      <sheetData sheetId="2991">
        <row r="52">
          <cell r="B52" t="str">
            <v>Main Panel</v>
          </cell>
        </row>
      </sheetData>
      <sheetData sheetId="2992">
        <row r="52">
          <cell r="B52" t="str">
            <v>Main Panel</v>
          </cell>
        </row>
      </sheetData>
      <sheetData sheetId="2993">
        <row r="52">
          <cell r="B52" t="str">
            <v>Main Panel</v>
          </cell>
        </row>
      </sheetData>
      <sheetData sheetId="2994">
        <row r="52">
          <cell r="B52" t="str">
            <v>Main Panel</v>
          </cell>
        </row>
      </sheetData>
      <sheetData sheetId="2995">
        <row r="52">
          <cell r="B52" t="str">
            <v>Main Panel</v>
          </cell>
        </row>
      </sheetData>
      <sheetData sheetId="2996">
        <row r="52">
          <cell r="B52" t="str">
            <v>Main Panel</v>
          </cell>
        </row>
      </sheetData>
      <sheetData sheetId="2997">
        <row r="52">
          <cell r="B52" t="str">
            <v>Main Panel</v>
          </cell>
        </row>
      </sheetData>
      <sheetData sheetId="2998">
        <row r="52">
          <cell r="B52" t="str">
            <v>Main Panel</v>
          </cell>
        </row>
      </sheetData>
      <sheetData sheetId="2999">
        <row r="52">
          <cell r="B52" t="str">
            <v>Main Panel</v>
          </cell>
        </row>
      </sheetData>
      <sheetData sheetId="3000">
        <row r="52">
          <cell r="B52" t="str">
            <v>Main Panel</v>
          </cell>
        </row>
      </sheetData>
      <sheetData sheetId="3001">
        <row r="52">
          <cell r="B52" t="str">
            <v>Main Panel</v>
          </cell>
        </row>
      </sheetData>
      <sheetData sheetId="3002">
        <row r="52">
          <cell r="B52" t="str">
            <v>Main Panel</v>
          </cell>
        </row>
      </sheetData>
      <sheetData sheetId="3003">
        <row r="52">
          <cell r="B52" t="str">
            <v>Main Panel</v>
          </cell>
        </row>
      </sheetData>
      <sheetData sheetId="3004">
        <row r="52">
          <cell r="B52" t="str">
            <v>Main Panel</v>
          </cell>
        </row>
      </sheetData>
      <sheetData sheetId="3005">
        <row r="52">
          <cell r="B52" t="str">
            <v>Main Panel</v>
          </cell>
        </row>
      </sheetData>
      <sheetData sheetId="3006">
        <row r="52">
          <cell r="B52" t="str">
            <v>Main Panel</v>
          </cell>
        </row>
      </sheetData>
      <sheetData sheetId="3007">
        <row r="52">
          <cell r="B52" t="str">
            <v>Main Panel</v>
          </cell>
        </row>
      </sheetData>
      <sheetData sheetId="3008">
        <row r="52">
          <cell r="B52" t="str">
            <v>Main Panel</v>
          </cell>
        </row>
      </sheetData>
      <sheetData sheetId="3009">
        <row r="52">
          <cell r="B52" t="str">
            <v>Main Panel</v>
          </cell>
        </row>
      </sheetData>
      <sheetData sheetId="3010">
        <row r="52">
          <cell r="B52" t="str">
            <v>Main Panel</v>
          </cell>
        </row>
      </sheetData>
      <sheetData sheetId="3011">
        <row r="52">
          <cell r="B52" t="str">
            <v>Main Panel</v>
          </cell>
        </row>
      </sheetData>
      <sheetData sheetId="3012">
        <row r="52">
          <cell r="B52" t="str">
            <v>Main Panel</v>
          </cell>
        </row>
      </sheetData>
      <sheetData sheetId="3013">
        <row r="52">
          <cell r="B52" t="str">
            <v>Main Panel</v>
          </cell>
        </row>
      </sheetData>
      <sheetData sheetId="3014">
        <row r="52">
          <cell r="B52" t="str">
            <v>Main Panel</v>
          </cell>
        </row>
      </sheetData>
      <sheetData sheetId="3015">
        <row r="52">
          <cell r="B52" t="str">
            <v>Main Panel</v>
          </cell>
        </row>
      </sheetData>
      <sheetData sheetId="3016">
        <row r="52">
          <cell r="B52" t="str">
            <v>Main Panel</v>
          </cell>
        </row>
      </sheetData>
      <sheetData sheetId="3017">
        <row r="52">
          <cell r="B52" t="str">
            <v>Main Panel</v>
          </cell>
        </row>
      </sheetData>
      <sheetData sheetId="3018">
        <row r="52">
          <cell r="B52" t="str">
            <v>Main Panel</v>
          </cell>
        </row>
      </sheetData>
      <sheetData sheetId="3019">
        <row r="52">
          <cell r="B52" t="str">
            <v>Main Panel</v>
          </cell>
        </row>
      </sheetData>
      <sheetData sheetId="3020">
        <row r="52">
          <cell r="B52" t="str">
            <v>Main Panel</v>
          </cell>
        </row>
      </sheetData>
      <sheetData sheetId="3021">
        <row r="52">
          <cell r="B52" t="str">
            <v>Main Panel</v>
          </cell>
        </row>
      </sheetData>
      <sheetData sheetId="3022">
        <row r="52">
          <cell r="B52" t="str">
            <v>Main Panel</v>
          </cell>
        </row>
      </sheetData>
      <sheetData sheetId="3023">
        <row r="52">
          <cell r="B52" t="str">
            <v>Main Panel</v>
          </cell>
        </row>
      </sheetData>
      <sheetData sheetId="3024">
        <row r="52">
          <cell r="B52" t="str">
            <v>Main Panel</v>
          </cell>
        </row>
      </sheetData>
      <sheetData sheetId="3025">
        <row r="52">
          <cell r="B52" t="str">
            <v>Main Panel</v>
          </cell>
        </row>
      </sheetData>
      <sheetData sheetId="3026">
        <row r="52">
          <cell r="B52" t="str">
            <v>Main Panel</v>
          </cell>
        </row>
      </sheetData>
      <sheetData sheetId="3027">
        <row r="52">
          <cell r="B52" t="str">
            <v>Main Panel</v>
          </cell>
        </row>
      </sheetData>
      <sheetData sheetId="3028">
        <row r="52">
          <cell r="B52" t="str">
            <v>Main Panel</v>
          </cell>
        </row>
      </sheetData>
      <sheetData sheetId="3029">
        <row r="52">
          <cell r="B52" t="str">
            <v>Main Panel</v>
          </cell>
        </row>
      </sheetData>
      <sheetData sheetId="3030">
        <row r="52">
          <cell r="B52" t="str">
            <v>Main Panel</v>
          </cell>
        </row>
      </sheetData>
      <sheetData sheetId="3031">
        <row r="52">
          <cell r="B52" t="str">
            <v>Main Panel</v>
          </cell>
        </row>
      </sheetData>
      <sheetData sheetId="3032">
        <row r="52">
          <cell r="B52" t="str">
            <v>Main Panel</v>
          </cell>
        </row>
      </sheetData>
      <sheetData sheetId="3033">
        <row r="52">
          <cell r="B52" t="str">
            <v>Main Panel</v>
          </cell>
        </row>
      </sheetData>
      <sheetData sheetId="3034">
        <row r="52">
          <cell r="B52" t="str">
            <v>Main Panel</v>
          </cell>
        </row>
      </sheetData>
      <sheetData sheetId="3035">
        <row r="52">
          <cell r="B52" t="str">
            <v>Main Panel</v>
          </cell>
        </row>
      </sheetData>
      <sheetData sheetId="3036">
        <row r="52">
          <cell r="B52" t="str">
            <v>Main Panel</v>
          </cell>
        </row>
      </sheetData>
      <sheetData sheetId="3037">
        <row r="52">
          <cell r="B52" t="str">
            <v>Main Panel</v>
          </cell>
        </row>
      </sheetData>
      <sheetData sheetId="3038">
        <row r="52">
          <cell r="B52" t="str">
            <v>Main Panel</v>
          </cell>
        </row>
      </sheetData>
      <sheetData sheetId="3039">
        <row r="52">
          <cell r="B52" t="str">
            <v>Main Panel</v>
          </cell>
        </row>
      </sheetData>
      <sheetData sheetId="3040">
        <row r="52">
          <cell r="B52" t="str">
            <v>Main Panel</v>
          </cell>
        </row>
      </sheetData>
      <sheetData sheetId="3041">
        <row r="52">
          <cell r="B52" t="str">
            <v>Main Panel</v>
          </cell>
        </row>
      </sheetData>
      <sheetData sheetId="3042">
        <row r="52">
          <cell r="B52" t="str">
            <v>Main Panel</v>
          </cell>
        </row>
      </sheetData>
      <sheetData sheetId="3043">
        <row r="52">
          <cell r="B52" t="str">
            <v>Main Panel</v>
          </cell>
        </row>
      </sheetData>
      <sheetData sheetId="3044">
        <row r="52">
          <cell r="B52" t="str">
            <v>Main Panel</v>
          </cell>
        </row>
      </sheetData>
      <sheetData sheetId="3045">
        <row r="52">
          <cell r="B52" t="str">
            <v>Main Panel</v>
          </cell>
        </row>
      </sheetData>
      <sheetData sheetId="3046">
        <row r="52">
          <cell r="B52" t="str">
            <v>Main Panel</v>
          </cell>
        </row>
      </sheetData>
      <sheetData sheetId="3047">
        <row r="52">
          <cell r="B52" t="str">
            <v>Main Panel</v>
          </cell>
        </row>
      </sheetData>
      <sheetData sheetId="3048">
        <row r="52">
          <cell r="B52" t="str">
            <v>Main Panel</v>
          </cell>
        </row>
      </sheetData>
      <sheetData sheetId="3049">
        <row r="52">
          <cell r="B52" t="str">
            <v>Main Panel</v>
          </cell>
        </row>
      </sheetData>
      <sheetData sheetId="3050">
        <row r="52">
          <cell r="B52" t="str">
            <v>Main Panel</v>
          </cell>
        </row>
      </sheetData>
      <sheetData sheetId="3051"/>
      <sheetData sheetId="3052">
        <row r="52">
          <cell r="B52" t="str">
            <v>Main Panel</v>
          </cell>
        </row>
      </sheetData>
      <sheetData sheetId="3053"/>
      <sheetData sheetId="3054">
        <row r="52">
          <cell r="B52" t="str">
            <v>Main Panel</v>
          </cell>
        </row>
      </sheetData>
      <sheetData sheetId="3055"/>
      <sheetData sheetId="3056">
        <row r="52">
          <cell r="B52" t="str">
            <v>Main Panel</v>
          </cell>
        </row>
      </sheetData>
      <sheetData sheetId="3057"/>
      <sheetData sheetId="3058">
        <row r="52">
          <cell r="B52" t="str">
            <v>Main Panel</v>
          </cell>
        </row>
      </sheetData>
      <sheetData sheetId="3059">
        <row r="52">
          <cell r="B52" t="str">
            <v>Main Panel</v>
          </cell>
        </row>
      </sheetData>
      <sheetData sheetId="3060">
        <row r="52">
          <cell r="B52" t="str">
            <v>Main Panel</v>
          </cell>
        </row>
      </sheetData>
      <sheetData sheetId="3061">
        <row r="52">
          <cell r="B52" t="str">
            <v>Main Panel</v>
          </cell>
        </row>
      </sheetData>
      <sheetData sheetId="3062"/>
      <sheetData sheetId="3063">
        <row r="52">
          <cell r="B52" t="str">
            <v>Main Panel</v>
          </cell>
        </row>
      </sheetData>
      <sheetData sheetId="3064">
        <row r="52">
          <cell r="B52" t="str">
            <v>Main Panel</v>
          </cell>
        </row>
      </sheetData>
      <sheetData sheetId="3065">
        <row r="52">
          <cell r="B52" t="str">
            <v>Main Panel</v>
          </cell>
        </row>
      </sheetData>
      <sheetData sheetId="3066"/>
      <sheetData sheetId="3067"/>
      <sheetData sheetId="3068"/>
      <sheetData sheetId="3069"/>
      <sheetData sheetId="3070">
        <row r="52">
          <cell r="B52" t="str">
            <v>Main Panel</v>
          </cell>
        </row>
      </sheetData>
      <sheetData sheetId="307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sheetData sheetId="3161"/>
      <sheetData sheetId="3162"/>
      <sheetData sheetId="3163"/>
      <sheetData sheetId="3164">
        <row r="52">
          <cell r="B52" t="str">
            <v>Main Panel</v>
          </cell>
        </row>
      </sheetData>
      <sheetData sheetId="3165">
        <row r="52">
          <cell r="B52" t="str">
            <v>Main Panel</v>
          </cell>
        </row>
      </sheetData>
      <sheetData sheetId="3166">
        <row r="52">
          <cell r="B52" t="str">
            <v>Main Panel</v>
          </cell>
        </row>
      </sheetData>
      <sheetData sheetId="3167">
        <row r="52">
          <cell r="B52" t="str">
            <v>Main Panel</v>
          </cell>
        </row>
      </sheetData>
      <sheetData sheetId="3168">
        <row r="52">
          <cell r="B52" t="str">
            <v>Main Panel</v>
          </cell>
        </row>
      </sheetData>
      <sheetData sheetId="3169">
        <row r="52">
          <cell r="B52" t="str">
            <v>Main Panel</v>
          </cell>
        </row>
      </sheetData>
      <sheetData sheetId="3170">
        <row r="52">
          <cell r="B52" t="str">
            <v>Main Panel</v>
          </cell>
        </row>
      </sheetData>
      <sheetData sheetId="3171">
        <row r="52">
          <cell r="B52" t="str">
            <v>Main Panel</v>
          </cell>
        </row>
      </sheetData>
      <sheetData sheetId="3172">
        <row r="52">
          <cell r="B52" t="str">
            <v>Main Panel</v>
          </cell>
        </row>
      </sheetData>
      <sheetData sheetId="3173">
        <row r="52">
          <cell r="B52" t="str">
            <v>Main Panel</v>
          </cell>
        </row>
      </sheetData>
      <sheetData sheetId="3174">
        <row r="52">
          <cell r="B52" t="str">
            <v>Main Panel</v>
          </cell>
        </row>
      </sheetData>
      <sheetData sheetId="3175">
        <row r="52">
          <cell r="B52" t="str">
            <v>Main Panel</v>
          </cell>
        </row>
      </sheetData>
      <sheetData sheetId="3176">
        <row r="52">
          <cell r="B52" t="str">
            <v>Main Panel</v>
          </cell>
        </row>
      </sheetData>
      <sheetData sheetId="3177">
        <row r="52">
          <cell r="B52" t="str">
            <v>Main Panel</v>
          </cell>
        </row>
      </sheetData>
      <sheetData sheetId="3178">
        <row r="52">
          <cell r="B52" t="str">
            <v>Main Panel</v>
          </cell>
        </row>
      </sheetData>
      <sheetData sheetId="3179">
        <row r="52">
          <cell r="B52" t="str">
            <v>Main Panel</v>
          </cell>
        </row>
      </sheetData>
      <sheetData sheetId="3180">
        <row r="52">
          <cell r="B52" t="str">
            <v>Main Panel</v>
          </cell>
        </row>
      </sheetData>
      <sheetData sheetId="3181">
        <row r="52">
          <cell r="B52" t="str">
            <v>Main Panel</v>
          </cell>
        </row>
      </sheetData>
      <sheetData sheetId="3182">
        <row r="52">
          <cell r="B52" t="str">
            <v>Main Panel</v>
          </cell>
        </row>
      </sheetData>
      <sheetData sheetId="3183">
        <row r="52">
          <cell r="B52" t="str">
            <v>Main Panel</v>
          </cell>
        </row>
      </sheetData>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refreshError="1"/>
      <sheetData sheetId="3218" refreshError="1"/>
      <sheetData sheetId="3219" refreshError="1"/>
      <sheetData sheetId="3220" refreshError="1"/>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row r="52">
          <cell r="B52" t="str">
            <v>Main Panel</v>
          </cell>
        </row>
      </sheetData>
      <sheetData sheetId="3273">
        <row r="52">
          <cell r="B52" t="str">
            <v>Main Panel</v>
          </cell>
        </row>
      </sheetData>
      <sheetData sheetId="3274">
        <row r="52">
          <cell r="B52" t="str">
            <v>Main Panel</v>
          </cell>
        </row>
      </sheetData>
      <sheetData sheetId="3275">
        <row r="52">
          <cell r="B52" t="str">
            <v>Main Panel</v>
          </cell>
        </row>
      </sheetData>
      <sheetData sheetId="3276">
        <row r="52">
          <cell r="B52" t="str">
            <v>Main Panel</v>
          </cell>
        </row>
      </sheetData>
      <sheetData sheetId="3277">
        <row r="52">
          <cell r="B52" t="str">
            <v>Main Panel</v>
          </cell>
        </row>
      </sheetData>
      <sheetData sheetId="3278">
        <row r="52">
          <cell r="B52" t="str">
            <v>Main Panel</v>
          </cell>
        </row>
      </sheetData>
      <sheetData sheetId="3279">
        <row r="52">
          <cell r="B52" t="str">
            <v>Main Panel</v>
          </cell>
        </row>
      </sheetData>
      <sheetData sheetId="3280">
        <row r="52">
          <cell r="B52" t="str">
            <v>Main Panel</v>
          </cell>
        </row>
      </sheetData>
      <sheetData sheetId="3281">
        <row r="52">
          <cell r="B52" t="str">
            <v>Main Panel</v>
          </cell>
        </row>
      </sheetData>
      <sheetData sheetId="3282">
        <row r="52">
          <cell r="B52" t="str">
            <v>Main Panel</v>
          </cell>
        </row>
      </sheetData>
      <sheetData sheetId="3283">
        <row r="52">
          <cell r="B52" t="str">
            <v>Main Panel</v>
          </cell>
        </row>
      </sheetData>
      <sheetData sheetId="3284">
        <row r="52">
          <cell r="B52" t="str">
            <v>Main Panel</v>
          </cell>
        </row>
      </sheetData>
      <sheetData sheetId="3285" refreshError="1"/>
      <sheetData sheetId="3286" refreshError="1"/>
      <sheetData sheetId="3287" refreshError="1"/>
      <sheetData sheetId="3288" refreshError="1"/>
      <sheetData sheetId="3289" refreshError="1"/>
      <sheetData sheetId="3290" refreshError="1"/>
      <sheetData sheetId="3291">
        <row r="52">
          <cell r="B52" t="str">
            <v>Main Panel</v>
          </cell>
        </row>
      </sheetData>
      <sheetData sheetId="3292">
        <row r="52">
          <cell r="B52" t="str">
            <v>Main Panel</v>
          </cell>
        </row>
      </sheetData>
      <sheetData sheetId="3293">
        <row r="52">
          <cell r="B52" t="str">
            <v>Main Panel</v>
          </cell>
        </row>
      </sheetData>
      <sheetData sheetId="3294">
        <row r="52">
          <cell r="B52" t="str">
            <v>Main Panel</v>
          </cell>
        </row>
      </sheetData>
      <sheetData sheetId="3295">
        <row r="52">
          <cell r="B52" t="str">
            <v>Main Panel</v>
          </cell>
        </row>
      </sheetData>
      <sheetData sheetId="3296">
        <row r="52">
          <cell r="B52" t="str">
            <v>Main Panel</v>
          </cell>
        </row>
      </sheetData>
      <sheetData sheetId="3297">
        <row r="52">
          <cell r="B52" t="str">
            <v>Main Panel</v>
          </cell>
        </row>
      </sheetData>
      <sheetData sheetId="3298">
        <row r="52">
          <cell r="B52" t="str">
            <v>Main Panel</v>
          </cell>
        </row>
      </sheetData>
      <sheetData sheetId="3299">
        <row r="52">
          <cell r="B52" t="str">
            <v>Main Panel</v>
          </cell>
        </row>
      </sheetData>
      <sheetData sheetId="3300">
        <row r="52">
          <cell r="B52" t="str">
            <v>Main Panel</v>
          </cell>
        </row>
      </sheetData>
      <sheetData sheetId="3301">
        <row r="52">
          <cell r="B52" t="str">
            <v>Main Panel</v>
          </cell>
        </row>
      </sheetData>
      <sheetData sheetId="3302">
        <row r="52">
          <cell r="B52" t="str">
            <v>Main Panel</v>
          </cell>
        </row>
      </sheetData>
      <sheetData sheetId="3303">
        <row r="52">
          <cell r="B52" t="str">
            <v>Main Panel</v>
          </cell>
        </row>
      </sheetData>
      <sheetData sheetId="3304"/>
      <sheetData sheetId="3305"/>
      <sheetData sheetId="3306">
        <row r="52">
          <cell r="B52" t="str">
            <v>Main Panel</v>
          </cell>
        </row>
      </sheetData>
      <sheetData sheetId="3307">
        <row r="52">
          <cell r="B52" t="str">
            <v>Main Panel</v>
          </cell>
        </row>
      </sheetData>
      <sheetData sheetId="3308">
        <row r="52">
          <cell r="B52" t="str">
            <v>Main Panel</v>
          </cell>
        </row>
      </sheetData>
      <sheetData sheetId="3309">
        <row r="52">
          <cell r="B52" t="str">
            <v>Main Panel</v>
          </cell>
        </row>
      </sheetData>
      <sheetData sheetId="3310"/>
      <sheetData sheetId="3311"/>
      <sheetData sheetId="3312"/>
      <sheetData sheetId="3313"/>
      <sheetData sheetId="3314">
        <row r="52">
          <cell r="B52" t="str">
            <v>Main Panel</v>
          </cell>
        </row>
      </sheetData>
      <sheetData sheetId="3315">
        <row r="52">
          <cell r="B52" t="str">
            <v>Main Panel</v>
          </cell>
        </row>
      </sheetData>
      <sheetData sheetId="3316">
        <row r="52">
          <cell r="B52" t="str">
            <v>Main Panel</v>
          </cell>
        </row>
      </sheetData>
      <sheetData sheetId="3317">
        <row r="52">
          <cell r="B52" t="str">
            <v>Main Panel</v>
          </cell>
        </row>
      </sheetData>
      <sheetData sheetId="3318">
        <row r="52">
          <cell r="B52" t="str">
            <v>Main Panel</v>
          </cell>
        </row>
      </sheetData>
      <sheetData sheetId="3319">
        <row r="52">
          <cell r="B52" t="str">
            <v>Main Panel</v>
          </cell>
        </row>
      </sheetData>
      <sheetData sheetId="3320">
        <row r="52">
          <cell r="B52" t="str">
            <v>Main Panel</v>
          </cell>
        </row>
      </sheetData>
      <sheetData sheetId="3321">
        <row r="52">
          <cell r="B52" t="str">
            <v>Main Panel</v>
          </cell>
        </row>
      </sheetData>
      <sheetData sheetId="3322">
        <row r="52">
          <cell r="B52" t="str">
            <v>Main Panel</v>
          </cell>
        </row>
      </sheetData>
      <sheetData sheetId="3323">
        <row r="52">
          <cell r="B52" t="str">
            <v>Main Panel</v>
          </cell>
        </row>
      </sheetData>
      <sheetData sheetId="3324">
        <row r="52">
          <cell r="B52" t="str">
            <v>Main Panel</v>
          </cell>
        </row>
      </sheetData>
      <sheetData sheetId="3325">
        <row r="52">
          <cell r="B52" t="str">
            <v>Main Panel</v>
          </cell>
        </row>
      </sheetData>
      <sheetData sheetId="3326">
        <row r="52">
          <cell r="B52" t="str">
            <v>Main Panel</v>
          </cell>
        </row>
      </sheetData>
      <sheetData sheetId="3327">
        <row r="52">
          <cell r="B52" t="str">
            <v>Main Panel</v>
          </cell>
        </row>
      </sheetData>
      <sheetData sheetId="3328">
        <row r="52">
          <cell r="B52" t="str">
            <v>Main Panel</v>
          </cell>
        </row>
      </sheetData>
      <sheetData sheetId="3329">
        <row r="52">
          <cell r="B52" t="str">
            <v>Main Panel</v>
          </cell>
        </row>
      </sheetData>
      <sheetData sheetId="3330">
        <row r="52">
          <cell r="B52" t="str">
            <v>Main Panel</v>
          </cell>
        </row>
      </sheetData>
      <sheetData sheetId="3331">
        <row r="52">
          <cell r="B52" t="str">
            <v>Main Panel</v>
          </cell>
        </row>
      </sheetData>
      <sheetData sheetId="3332">
        <row r="52">
          <cell r="B52" t="str">
            <v>Main Panel</v>
          </cell>
        </row>
      </sheetData>
      <sheetData sheetId="3333">
        <row r="52">
          <cell r="B52" t="str">
            <v>Main Panel</v>
          </cell>
        </row>
      </sheetData>
      <sheetData sheetId="3334">
        <row r="52">
          <cell r="B52" t="str">
            <v>Main Panel</v>
          </cell>
        </row>
      </sheetData>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row r="52">
          <cell r="B52" t="str">
            <v>Main Panel</v>
          </cell>
        </row>
      </sheetData>
      <sheetData sheetId="3351">
        <row r="52">
          <cell r="B52" t="str">
            <v>Main Panel</v>
          </cell>
        </row>
      </sheetData>
      <sheetData sheetId="3352">
        <row r="52">
          <cell r="B52" t="str">
            <v>Main Panel</v>
          </cell>
        </row>
      </sheetData>
      <sheetData sheetId="3353">
        <row r="52">
          <cell r="B52" t="str">
            <v>Main Panel</v>
          </cell>
        </row>
      </sheetData>
      <sheetData sheetId="3354">
        <row r="52">
          <cell r="B52" t="str">
            <v>Main Panel</v>
          </cell>
        </row>
      </sheetData>
      <sheetData sheetId="3355">
        <row r="52">
          <cell r="B52" t="str">
            <v>Main Panel</v>
          </cell>
        </row>
      </sheetData>
      <sheetData sheetId="3356">
        <row r="52">
          <cell r="B52" t="str">
            <v>Main Panel</v>
          </cell>
        </row>
      </sheetData>
      <sheetData sheetId="3357">
        <row r="52">
          <cell r="B52" t="str">
            <v>Main Panel</v>
          </cell>
        </row>
      </sheetData>
      <sheetData sheetId="3358">
        <row r="52">
          <cell r="B52" t="str">
            <v>Main Panel</v>
          </cell>
        </row>
      </sheetData>
      <sheetData sheetId="3359">
        <row r="52">
          <cell r="B52" t="str">
            <v>Main Panel</v>
          </cell>
        </row>
      </sheetData>
      <sheetData sheetId="3360">
        <row r="52">
          <cell r="B52" t="str">
            <v>Main Panel</v>
          </cell>
        </row>
      </sheetData>
      <sheetData sheetId="3361">
        <row r="52">
          <cell r="B52" t="str">
            <v>Main Panel</v>
          </cell>
        </row>
      </sheetData>
      <sheetData sheetId="3362">
        <row r="52">
          <cell r="B52" t="str">
            <v>Main Panel</v>
          </cell>
        </row>
      </sheetData>
      <sheetData sheetId="3363">
        <row r="52">
          <cell r="B52" t="str">
            <v>Main Panel</v>
          </cell>
        </row>
      </sheetData>
      <sheetData sheetId="3364">
        <row r="52">
          <cell r="B52" t="str">
            <v>Main Panel</v>
          </cell>
        </row>
      </sheetData>
      <sheetData sheetId="3365">
        <row r="52">
          <cell r="B52" t="str">
            <v>Main Panel</v>
          </cell>
        </row>
      </sheetData>
      <sheetData sheetId="3366">
        <row r="52">
          <cell r="B52" t="str">
            <v>Main Panel</v>
          </cell>
        </row>
      </sheetData>
      <sheetData sheetId="3367">
        <row r="52">
          <cell r="B52" t="str">
            <v>Main Panel</v>
          </cell>
        </row>
      </sheetData>
      <sheetData sheetId="3368">
        <row r="52">
          <cell r="B52" t="str">
            <v>Main Panel</v>
          </cell>
        </row>
      </sheetData>
      <sheetData sheetId="3369">
        <row r="52">
          <cell r="B52" t="str">
            <v>Main Panel</v>
          </cell>
        </row>
      </sheetData>
      <sheetData sheetId="3370">
        <row r="52">
          <cell r="B52" t="str">
            <v>Main Panel</v>
          </cell>
        </row>
      </sheetData>
      <sheetData sheetId="3371">
        <row r="52">
          <cell r="B52" t="str">
            <v>Main Panel</v>
          </cell>
        </row>
      </sheetData>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row r="52">
          <cell r="B52" t="str">
            <v>Main Panel</v>
          </cell>
        </row>
      </sheetData>
      <sheetData sheetId="3424">
        <row r="52">
          <cell r="B52" t="str">
            <v>Main Panel</v>
          </cell>
        </row>
      </sheetData>
      <sheetData sheetId="3425">
        <row r="52">
          <cell r="B52" t="str">
            <v>Main Panel</v>
          </cell>
        </row>
      </sheetData>
      <sheetData sheetId="3426">
        <row r="52">
          <cell r="B52" t="str">
            <v>Main Panel</v>
          </cell>
        </row>
      </sheetData>
      <sheetData sheetId="3427">
        <row r="52">
          <cell r="B52" t="str">
            <v>Main Panel</v>
          </cell>
        </row>
      </sheetData>
      <sheetData sheetId="3428">
        <row r="52">
          <cell r="B52" t="str">
            <v>Main Panel</v>
          </cell>
        </row>
      </sheetData>
      <sheetData sheetId="3429">
        <row r="52">
          <cell r="B52" t="str">
            <v>Main Panel</v>
          </cell>
        </row>
      </sheetData>
      <sheetData sheetId="3430">
        <row r="52">
          <cell r="B52" t="str">
            <v>Main Panel</v>
          </cell>
        </row>
      </sheetData>
      <sheetData sheetId="3431">
        <row r="52">
          <cell r="B52" t="str">
            <v>Main Panel</v>
          </cell>
        </row>
      </sheetData>
      <sheetData sheetId="3432">
        <row r="52">
          <cell r="B52" t="str">
            <v>Main Panel</v>
          </cell>
        </row>
      </sheetData>
      <sheetData sheetId="3433">
        <row r="52">
          <cell r="B52" t="str">
            <v>Main Panel</v>
          </cell>
        </row>
      </sheetData>
      <sheetData sheetId="3434">
        <row r="52">
          <cell r="B52" t="str">
            <v>Main Panel</v>
          </cell>
        </row>
      </sheetData>
      <sheetData sheetId="3435">
        <row r="52">
          <cell r="B52" t="str">
            <v>Main Panel</v>
          </cell>
        </row>
      </sheetData>
      <sheetData sheetId="3436">
        <row r="52">
          <cell r="B52" t="str">
            <v>Main Panel</v>
          </cell>
        </row>
      </sheetData>
      <sheetData sheetId="3437">
        <row r="52">
          <cell r="B52" t="str">
            <v>Main Panel</v>
          </cell>
        </row>
      </sheetData>
      <sheetData sheetId="3438">
        <row r="52">
          <cell r="B52" t="str">
            <v>Main Panel</v>
          </cell>
        </row>
      </sheetData>
      <sheetData sheetId="3439">
        <row r="52">
          <cell r="B52" t="str">
            <v>Main Panel</v>
          </cell>
        </row>
      </sheetData>
      <sheetData sheetId="3440">
        <row r="52">
          <cell r="B52" t="str">
            <v>Main Panel</v>
          </cell>
        </row>
      </sheetData>
      <sheetData sheetId="3441">
        <row r="52">
          <cell r="B52" t="str">
            <v>Main Panel</v>
          </cell>
        </row>
      </sheetData>
      <sheetData sheetId="3442">
        <row r="52">
          <cell r="B52" t="str">
            <v>Main Panel</v>
          </cell>
        </row>
      </sheetData>
      <sheetData sheetId="3443">
        <row r="52">
          <cell r="B52" t="str">
            <v>Main Panel</v>
          </cell>
        </row>
      </sheetData>
      <sheetData sheetId="3444">
        <row r="52">
          <cell r="B52" t="str">
            <v>Main Panel</v>
          </cell>
        </row>
      </sheetData>
      <sheetData sheetId="3445">
        <row r="52">
          <cell r="B52" t="str">
            <v>Main Panel</v>
          </cell>
        </row>
      </sheetData>
      <sheetData sheetId="3446">
        <row r="52">
          <cell r="B52" t="str">
            <v>Main Panel</v>
          </cell>
        </row>
      </sheetData>
      <sheetData sheetId="3447">
        <row r="52">
          <cell r="B52" t="str">
            <v>Main Panel</v>
          </cell>
        </row>
      </sheetData>
      <sheetData sheetId="3448">
        <row r="52">
          <cell r="B52" t="str">
            <v>Main Panel</v>
          </cell>
        </row>
      </sheetData>
      <sheetData sheetId="3449">
        <row r="52">
          <cell r="B52" t="str">
            <v>Main Panel</v>
          </cell>
        </row>
      </sheetData>
      <sheetData sheetId="3450">
        <row r="52">
          <cell r="B52" t="str">
            <v>Main Panel</v>
          </cell>
        </row>
      </sheetData>
      <sheetData sheetId="3451">
        <row r="52">
          <cell r="B52" t="str">
            <v>Main Panel</v>
          </cell>
        </row>
      </sheetData>
      <sheetData sheetId="3452">
        <row r="52">
          <cell r="B52" t="str">
            <v>Main Panel</v>
          </cell>
        </row>
      </sheetData>
      <sheetData sheetId="3453">
        <row r="52">
          <cell r="B52" t="str">
            <v>Main Panel</v>
          </cell>
        </row>
      </sheetData>
      <sheetData sheetId="3454">
        <row r="52">
          <cell r="B52" t="str">
            <v>Main Panel</v>
          </cell>
        </row>
      </sheetData>
      <sheetData sheetId="3455">
        <row r="52">
          <cell r="B52" t="str">
            <v>Main Panel</v>
          </cell>
        </row>
      </sheetData>
      <sheetData sheetId="3456">
        <row r="52">
          <cell r="B52" t="str">
            <v>Main Panel</v>
          </cell>
        </row>
      </sheetData>
      <sheetData sheetId="3457">
        <row r="52">
          <cell r="B52" t="str">
            <v>Main Panel</v>
          </cell>
        </row>
      </sheetData>
      <sheetData sheetId="3458">
        <row r="52">
          <cell r="B52" t="str">
            <v>Main Panel</v>
          </cell>
        </row>
      </sheetData>
      <sheetData sheetId="3459">
        <row r="52">
          <cell r="B52" t="str">
            <v>Main Panel</v>
          </cell>
        </row>
      </sheetData>
      <sheetData sheetId="3460">
        <row r="52">
          <cell r="B52" t="str">
            <v>Main Panel</v>
          </cell>
        </row>
      </sheetData>
      <sheetData sheetId="3461">
        <row r="52">
          <cell r="B52" t="str">
            <v>Main Panel</v>
          </cell>
        </row>
      </sheetData>
      <sheetData sheetId="3462">
        <row r="52">
          <cell r="B52" t="str">
            <v>Main Panel</v>
          </cell>
        </row>
      </sheetData>
      <sheetData sheetId="3463">
        <row r="52">
          <cell r="B52" t="str">
            <v>Main Panel</v>
          </cell>
        </row>
      </sheetData>
      <sheetData sheetId="3464">
        <row r="52">
          <cell r="B52" t="str">
            <v>Main Panel</v>
          </cell>
        </row>
      </sheetData>
      <sheetData sheetId="3465">
        <row r="52">
          <cell r="B52" t="str">
            <v>Main Panel</v>
          </cell>
        </row>
      </sheetData>
      <sheetData sheetId="3466">
        <row r="52">
          <cell r="B52" t="str">
            <v>Main Panel</v>
          </cell>
        </row>
      </sheetData>
      <sheetData sheetId="3467">
        <row r="52">
          <cell r="B52" t="str">
            <v>Main Panel</v>
          </cell>
        </row>
      </sheetData>
      <sheetData sheetId="3468">
        <row r="52">
          <cell r="B52" t="str">
            <v>Main Panel</v>
          </cell>
        </row>
      </sheetData>
      <sheetData sheetId="3469">
        <row r="52">
          <cell r="B52" t="str">
            <v>Main Panel</v>
          </cell>
        </row>
      </sheetData>
      <sheetData sheetId="3470">
        <row r="52">
          <cell r="B52" t="str">
            <v>Main Panel</v>
          </cell>
        </row>
      </sheetData>
      <sheetData sheetId="3471">
        <row r="52">
          <cell r="B52" t="str">
            <v>Main Panel</v>
          </cell>
        </row>
      </sheetData>
      <sheetData sheetId="3472">
        <row r="52">
          <cell r="B52" t="str">
            <v>Main Panel</v>
          </cell>
        </row>
      </sheetData>
      <sheetData sheetId="3473">
        <row r="52">
          <cell r="B52" t="str">
            <v>Main Panel</v>
          </cell>
        </row>
      </sheetData>
      <sheetData sheetId="3474">
        <row r="52">
          <cell r="B52" t="str">
            <v>Main Panel</v>
          </cell>
        </row>
      </sheetData>
      <sheetData sheetId="3475">
        <row r="52">
          <cell r="B52" t="str">
            <v>Main Panel</v>
          </cell>
        </row>
      </sheetData>
      <sheetData sheetId="3476">
        <row r="52">
          <cell r="B52" t="str">
            <v>Main Panel</v>
          </cell>
        </row>
      </sheetData>
      <sheetData sheetId="3477">
        <row r="52">
          <cell r="B52" t="str">
            <v>Main Panel</v>
          </cell>
        </row>
      </sheetData>
      <sheetData sheetId="3478" refreshError="1"/>
      <sheetData sheetId="3479" refreshError="1"/>
      <sheetData sheetId="3480" refreshError="1"/>
      <sheetData sheetId="3481" refreshError="1"/>
      <sheetData sheetId="3482" refreshError="1"/>
      <sheetData sheetId="3483" refreshError="1"/>
      <sheetData sheetId="3484">
        <row r="52">
          <cell r="B52" t="str">
            <v>Main Panel</v>
          </cell>
        </row>
      </sheetData>
      <sheetData sheetId="3485">
        <row r="52">
          <cell r="B52" t="str">
            <v>Main Panel</v>
          </cell>
        </row>
      </sheetData>
      <sheetData sheetId="3486">
        <row r="52">
          <cell r="B52" t="str">
            <v>Main Panel</v>
          </cell>
        </row>
      </sheetData>
      <sheetData sheetId="3487">
        <row r="52">
          <cell r="B52" t="str">
            <v>Main Panel</v>
          </cell>
        </row>
      </sheetData>
      <sheetData sheetId="3488">
        <row r="52">
          <cell r="B52" t="str">
            <v>Main Panel</v>
          </cell>
        </row>
      </sheetData>
      <sheetData sheetId="3489">
        <row r="52">
          <cell r="B52" t="str">
            <v>Main Panel</v>
          </cell>
        </row>
      </sheetData>
      <sheetData sheetId="3490">
        <row r="52">
          <cell r="B52" t="str">
            <v>Main Panel</v>
          </cell>
        </row>
      </sheetData>
      <sheetData sheetId="3491">
        <row r="52">
          <cell r="B52" t="str">
            <v>Main Panel</v>
          </cell>
        </row>
      </sheetData>
      <sheetData sheetId="3492">
        <row r="52">
          <cell r="B52" t="str">
            <v>Main Panel</v>
          </cell>
        </row>
      </sheetData>
      <sheetData sheetId="3493">
        <row r="52">
          <cell r="B52" t="str">
            <v>Main Panel</v>
          </cell>
        </row>
      </sheetData>
      <sheetData sheetId="3494">
        <row r="52">
          <cell r="B52" t="str">
            <v>Main Panel</v>
          </cell>
        </row>
      </sheetData>
      <sheetData sheetId="3495">
        <row r="52">
          <cell r="B52" t="str">
            <v>Main Panel</v>
          </cell>
        </row>
      </sheetData>
      <sheetData sheetId="3496">
        <row r="52">
          <cell r="B52" t="str">
            <v>Main Panel</v>
          </cell>
        </row>
      </sheetData>
      <sheetData sheetId="3497">
        <row r="52">
          <cell r="B52" t="str">
            <v>Main Panel</v>
          </cell>
        </row>
      </sheetData>
      <sheetData sheetId="3498">
        <row r="52">
          <cell r="B52" t="str">
            <v>Main Panel</v>
          </cell>
        </row>
      </sheetData>
      <sheetData sheetId="3499">
        <row r="52">
          <cell r="B52" t="str">
            <v>Main Panel</v>
          </cell>
        </row>
      </sheetData>
      <sheetData sheetId="3500">
        <row r="52">
          <cell r="B52" t="str">
            <v>Main Panel</v>
          </cell>
        </row>
      </sheetData>
      <sheetData sheetId="3501">
        <row r="52">
          <cell r="B52" t="str">
            <v>Main Panel</v>
          </cell>
        </row>
      </sheetData>
      <sheetData sheetId="3502">
        <row r="52">
          <cell r="B52" t="str">
            <v>Main Panel</v>
          </cell>
        </row>
      </sheetData>
      <sheetData sheetId="3503">
        <row r="52">
          <cell r="B52" t="str">
            <v>Main Panel</v>
          </cell>
        </row>
      </sheetData>
      <sheetData sheetId="3504">
        <row r="52">
          <cell r="B52" t="str">
            <v>Main Panel</v>
          </cell>
        </row>
      </sheetData>
      <sheetData sheetId="3505">
        <row r="52">
          <cell r="B52" t="str">
            <v>Main Panel</v>
          </cell>
        </row>
      </sheetData>
      <sheetData sheetId="3506">
        <row r="52">
          <cell r="B52" t="str">
            <v>Main Panel</v>
          </cell>
        </row>
      </sheetData>
      <sheetData sheetId="3507">
        <row r="52">
          <cell r="B52" t="str">
            <v>Main Panel</v>
          </cell>
        </row>
      </sheetData>
      <sheetData sheetId="3508">
        <row r="52">
          <cell r="B52" t="str">
            <v>Main Panel</v>
          </cell>
        </row>
      </sheetData>
      <sheetData sheetId="3509">
        <row r="52">
          <cell r="B52" t="str">
            <v>Main Panel</v>
          </cell>
        </row>
      </sheetData>
      <sheetData sheetId="3510">
        <row r="52">
          <cell r="B52" t="str">
            <v>Main Panel</v>
          </cell>
        </row>
      </sheetData>
      <sheetData sheetId="3511">
        <row r="52">
          <cell r="B52" t="str">
            <v>Main Panel</v>
          </cell>
        </row>
      </sheetData>
      <sheetData sheetId="3512">
        <row r="52">
          <cell r="B52" t="str">
            <v>Main Panel</v>
          </cell>
        </row>
      </sheetData>
      <sheetData sheetId="3513">
        <row r="52">
          <cell r="B52" t="str">
            <v>Main Panel</v>
          </cell>
        </row>
      </sheetData>
      <sheetData sheetId="3514">
        <row r="52">
          <cell r="B52" t="str">
            <v>Main Panel</v>
          </cell>
        </row>
      </sheetData>
      <sheetData sheetId="3515">
        <row r="52">
          <cell r="B52" t="str">
            <v>Main Panel</v>
          </cell>
        </row>
      </sheetData>
      <sheetData sheetId="3516" refreshError="1"/>
      <sheetData sheetId="3517" refreshError="1"/>
      <sheetData sheetId="3518" refreshError="1"/>
      <sheetData sheetId="3519" refreshError="1"/>
      <sheetData sheetId="3520" refreshError="1"/>
      <sheetData sheetId="3521" refreshError="1"/>
      <sheetData sheetId="3522"/>
      <sheetData sheetId="3523" refreshError="1"/>
      <sheetData sheetId="3524">
        <row r="52">
          <cell r="B52" t="str">
            <v>Main Panel</v>
          </cell>
        </row>
      </sheetData>
      <sheetData sheetId="3525">
        <row r="52">
          <cell r="B52" t="str">
            <v>Main Panel</v>
          </cell>
        </row>
      </sheetData>
      <sheetData sheetId="3526">
        <row r="52">
          <cell r="B52" t="str">
            <v>Main Panel</v>
          </cell>
        </row>
      </sheetData>
      <sheetData sheetId="3527">
        <row r="52">
          <cell r="B52" t="str">
            <v>Main Panel</v>
          </cell>
        </row>
      </sheetData>
      <sheetData sheetId="3528">
        <row r="52">
          <cell r="B52" t="str">
            <v>Main Panel</v>
          </cell>
        </row>
      </sheetData>
      <sheetData sheetId="3529">
        <row r="52">
          <cell r="B52" t="str">
            <v>Main Panel</v>
          </cell>
        </row>
      </sheetData>
      <sheetData sheetId="3530">
        <row r="52">
          <cell r="B52" t="str">
            <v>Main Panel</v>
          </cell>
        </row>
      </sheetData>
      <sheetData sheetId="3531">
        <row r="52">
          <cell r="B52" t="str">
            <v>Main Panel</v>
          </cell>
        </row>
      </sheetData>
      <sheetData sheetId="3532">
        <row r="52">
          <cell r="B52" t="str">
            <v>Main Panel</v>
          </cell>
        </row>
      </sheetData>
      <sheetData sheetId="3533">
        <row r="52">
          <cell r="B52" t="str">
            <v>Main Panel</v>
          </cell>
        </row>
      </sheetData>
      <sheetData sheetId="3534">
        <row r="52">
          <cell r="B52" t="str">
            <v>Main Panel</v>
          </cell>
        </row>
      </sheetData>
      <sheetData sheetId="3535">
        <row r="52">
          <cell r="B52" t="str">
            <v>Main Panel</v>
          </cell>
        </row>
      </sheetData>
      <sheetData sheetId="3536">
        <row r="52">
          <cell r="B52" t="str">
            <v>Main Panel</v>
          </cell>
        </row>
      </sheetData>
      <sheetData sheetId="3537">
        <row r="52">
          <cell r="B52" t="str">
            <v>Main Panel</v>
          </cell>
        </row>
      </sheetData>
      <sheetData sheetId="3538">
        <row r="52">
          <cell r="B52" t="str">
            <v>Main Panel</v>
          </cell>
        </row>
      </sheetData>
      <sheetData sheetId="3539">
        <row r="52">
          <cell r="B52" t="str">
            <v>Main Panel</v>
          </cell>
        </row>
      </sheetData>
      <sheetData sheetId="3540">
        <row r="52">
          <cell r="B52" t="str">
            <v>Main Panel</v>
          </cell>
        </row>
      </sheetData>
      <sheetData sheetId="3541">
        <row r="52">
          <cell r="B52" t="str">
            <v>Main Panel</v>
          </cell>
        </row>
      </sheetData>
      <sheetData sheetId="3542">
        <row r="52">
          <cell r="B52" t="str">
            <v>Main Panel</v>
          </cell>
        </row>
      </sheetData>
      <sheetData sheetId="3543">
        <row r="52">
          <cell r="B52" t="str">
            <v>Main Panel</v>
          </cell>
        </row>
      </sheetData>
      <sheetData sheetId="3544">
        <row r="52">
          <cell r="B52" t="str">
            <v>Main Panel</v>
          </cell>
        </row>
      </sheetData>
      <sheetData sheetId="3545">
        <row r="52">
          <cell r="B52" t="str">
            <v>Main Panel</v>
          </cell>
        </row>
      </sheetData>
      <sheetData sheetId="3546">
        <row r="52">
          <cell r="B52" t="str">
            <v>Main Panel</v>
          </cell>
        </row>
      </sheetData>
      <sheetData sheetId="3547">
        <row r="52">
          <cell r="B52" t="str">
            <v>Main Panel</v>
          </cell>
        </row>
      </sheetData>
      <sheetData sheetId="3548">
        <row r="52">
          <cell r="B52" t="str">
            <v>Main Panel</v>
          </cell>
        </row>
      </sheetData>
      <sheetData sheetId="3549">
        <row r="52">
          <cell r="B52" t="str">
            <v>Main Panel</v>
          </cell>
        </row>
      </sheetData>
      <sheetData sheetId="3550">
        <row r="52">
          <cell r="B52" t="str">
            <v>Main Panel</v>
          </cell>
        </row>
      </sheetData>
      <sheetData sheetId="3551">
        <row r="52">
          <cell r="B52" t="str">
            <v>Main Panel</v>
          </cell>
        </row>
      </sheetData>
      <sheetData sheetId="3552">
        <row r="52">
          <cell r="B52" t="str">
            <v>Main Panel</v>
          </cell>
        </row>
      </sheetData>
      <sheetData sheetId="3553">
        <row r="52">
          <cell r="B52" t="str">
            <v>Main Panel</v>
          </cell>
        </row>
      </sheetData>
      <sheetData sheetId="3554">
        <row r="52">
          <cell r="B52" t="str">
            <v>Main Panel</v>
          </cell>
        </row>
      </sheetData>
      <sheetData sheetId="3555">
        <row r="52">
          <cell r="B52" t="str">
            <v>Main Panel</v>
          </cell>
        </row>
      </sheetData>
      <sheetData sheetId="3556">
        <row r="52">
          <cell r="B52" t="str">
            <v>Main Panel</v>
          </cell>
        </row>
      </sheetData>
      <sheetData sheetId="3557">
        <row r="52">
          <cell r="B52" t="str">
            <v>Main Panel</v>
          </cell>
        </row>
      </sheetData>
      <sheetData sheetId="3558">
        <row r="52">
          <cell r="B52" t="str">
            <v>Main Panel</v>
          </cell>
        </row>
      </sheetData>
      <sheetData sheetId="3559">
        <row r="52">
          <cell r="B52" t="str">
            <v>Main Panel</v>
          </cell>
        </row>
      </sheetData>
      <sheetData sheetId="3560">
        <row r="52">
          <cell r="B52" t="str">
            <v>Main Panel</v>
          </cell>
        </row>
      </sheetData>
      <sheetData sheetId="3561">
        <row r="52">
          <cell r="B52" t="str">
            <v>Main Panel</v>
          </cell>
        </row>
      </sheetData>
      <sheetData sheetId="3562">
        <row r="52">
          <cell r="B52" t="str">
            <v>Main Panel</v>
          </cell>
        </row>
      </sheetData>
      <sheetData sheetId="3563">
        <row r="52">
          <cell r="B52" t="str">
            <v>Main Panel</v>
          </cell>
        </row>
      </sheetData>
      <sheetData sheetId="3564">
        <row r="52">
          <cell r="B52" t="str">
            <v>Main Panel</v>
          </cell>
        </row>
      </sheetData>
      <sheetData sheetId="3565">
        <row r="52">
          <cell r="B52" t="str">
            <v>Main Panel</v>
          </cell>
        </row>
      </sheetData>
      <sheetData sheetId="3566">
        <row r="52">
          <cell r="B52" t="str">
            <v>Main Panel</v>
          </cell>
        </row>
      </sheetData>
      <sheetData sheetId="3567">
        <row r="52">
          <cell r="B52" t="str">
            <v>Main Panel</v>
          </cell>
        </row>
      </sheetData>
      <sheetData sheetId="3568">
        <row r="52">
          <cell r="B52" t="str">
            <v>Main Panel</v>
          </cell>
        </row>
      </sheetData>
      <sheetData sheetId="3569">
        <row r="52">
          <cell r="B52" t="str">
            <v>Main Panel</v>
          </cell>
        </row>
      </sheetData>
      <sheetData sheetId="3570">
        <row r="52">
          <cell r="B52" t="str">
            <v>Main Panel</v>
          </cell>
        </row>
      </sheetData>
      <sheetData sheetId="3571">
        <row r="52">
          <cell r="B52" t="str">
            <v>Main Panel</v>
          </cell>
        </row>
      </sheetData>
      <sheetData sheetId="3572">
        <row r="52">
          <cell r="B52" t="str">
            <v>Main Panel</v>
          </cell>
        </row>
      </sheetData>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ow r="52">
          <cell r="B52" t="str">
            <v>Main Panel</v>
          </cell>
        </row>
      </sheetData>
      <sheetData sheetId="3774">
        <row r="52">
          <cell r="B52" t="str">
            <v>Main Panel</v>
          </cell>
        </row>
      </sheetData>
      <sheetData sheetId="3775">
        <row r="52">
          <cell r="B52" t="str">
            <v>Main Panel</v>
          </cell>
        </row>
      </sheetData>
      <sheetData sheetId="3776">
        <row r="52">
          <cell r="B52" t="str">
            <v>Main Panel</v>
          </cell>
        </row>
      </sheetData>
      <sheetData sheetId="3777">
        <row r="52">
          <cell r="B52" t="str">
            <v>Main Panel</v>
          </cell>
        </row>
      </sheetData>
      <sheetData sheetId="3778">
        <row r="52">
          <cell r="B52" t="str">
            <v>Main Panel</v>
          </cell>
        </row>
      </sheetData>
      <sheetData sheetId="3779">
        <row r="52">
          <cell r="B52" t="str">
            <v>Main Panel</v>
          </cell>
        </row>
      </sheetData>
      <sheetData sheetId="3780">
        <row r="52">
          <cell r="B52" t="str">
            <v>Main Panel</v>
          </cell>
        </row>
      </sheetData>
      <sheetData sheetId="3781">
        <row r="52">
          <cell r="B52" t="str">
            <v>Main Panel</v>
          </cell>
        </row>
      </sheetData>
      <sheetData sheetId="3782">
        <row r="52">
          <cell r="B52" t="str">
            <v>Main Panel</v>
          </cell>
        </row>
      </sheetData>
      <sheetData sheetId="3783">
        <row r="52">
          <cell r="B52" t="str">
            <v>Main Panel</v>
          </cell>
        </row>
      </sheetData>
      <sheetData sheetId="3784">
        <row r="52">
          <cell r="B52" t="str">
            <v>Main Panel</v>
          </cell>
        </row>
      </sheetData>
      <sheetData sheetId="3785">
        <row r="52">
          <cell r="B52" t="str">
            <v>Main Panel</v>
          </cell>
        </row>
      </sheetData>
      <sheetData sheetId="3786">
        <row r="52">
          <cell r="B52" t="str">
            <v>Main Panel</v>
          </cell>
        </row>
      </sheetData>
      <sheetData sheetId="3787">
        <row r="52">
          <cell r="B52" t="str">
            <v>Main Panel</v>
          </cell>
        </row>
      </sheetData>
      <sheetData sheetId="3788">
        <row r="52">
          <cell r="B52" t="str">
            <v>Main Panel</v>
          </cell>
        </row>
      </sheetData>
      <sheetData sheetId="3789">
        <row r="52">
          <cell r="B52" t="str">
            <v>Main Panel</v>
          </cell>
        </row>
      </sheetData>
      <sheetData sheetId="3790">
        <row r="52">
          <cell r="B52" t="str">
            <v>Main Panel</v>
          </cell>
        </row>
      </sheetData>
      <sheetData sheetId="3791">
        <row r="52">
          <cell r="B52" t="str">
            <v>Main Panel</v>
          </cell>
        </row>
      </sheetData>
      <sheetData sheetId="3792">
        <row r="52">
          <cell r="B52" t="str">
            <v>Main Panel</v>
          </cell>
        </row>
      </sheetData>
      <sheetData sheetId="3793">
        <row r="52">
          <cell r="B52" t="str">
            <v>Main Panel</v>
          </cell>
        </row>
      </sheetData>
      <sheetData sheetId="3794">
        <row r="52">
          <cell r="B52" t="str">
            <v>Main Panel</v>
          </cell>
        </row>
      </sheetData>
      <sheetData sheetId="3795">
        <row r="52">
          <cell r="B52" t="str">
            <v>Main Panel</v>
          </cell>
        </row>
      </sheetData>
      <sheetData sheetId="3796">
        <row r="52">
          <cell r="B52" t="str">
            <v>Main Panel</v>
          </cell>
        </row>
      </sheetData>
      <sheetData sheetId="3797">
        <row r="52">
          <cell r="B52" t="str">
            <v>Main Panel</v>
          </cell>
        </row>
      </sheetData>
      <sheetData sheetId="3798">
        <row r="52">
          <cell r="B52" t="str">
            <v>Main Panel</v>
          </cell>
        </row>
      </sheetData>
      <sheetData sheetId="3799">
        <row r="52">
          <cell r="B52" t="str">
            <v>Main Panel</v>
          </cell>
        </row>
      </sheetData>
      <sheetData sheetId="3800">
        <row r="52">
          <cell r="B52" t="str">
            <v>Main Panel</v>
          </cell>
        </row>
      </sheetData>
      <sheetData sheetId="3801">
        <row r="52">
          <cell r="B52" t="str">
            <v>Main Panel</v>
          </cell>
        </row>
      </sheetData>
      <sheetData sheetId="3802">
        <row r="52">
          <cell r="B52" t="str">
            <v>Main Panel</v>
          </cell>
        </row>
      </sheetData>
      <sheetData sheetId="3803">
        <row r="52">
          <cell r="B52" t="str">
            <v>Main Panel</v>
          </cell>
        </row>
      </sheetData>
      <sheetData sheetId="3804">
        <row r="52">
          <cell r="B52" t="str">
            <v>Main Panel</v>
          </cell>
        </row>
      </sheetData>
      <sheetData sheetId="3805">
        <row r="52">
          <cell r="B52" t="str">
            <v>Main Panel</v>
          </cell>
        </row>
      </sheetData>
      <sheetData sheetId="3806">
        <row r="52">
          <cell r="B52" t="str">
            <v>Main Panel</v>
          </cell>
        </row>
      </sheetData>
      <sheetData sheetId="3807">
        <row r="52">
          <cell r="B52" t="str">
            <v>Main Panel</v>
          </cell>
        </row>
      </sheetData>
      <sheetData sheetId="3808">
        <row r="52">
          <cell r="B52" t="str">
            <v>Main Panel</v>
          </cell>
        </row>
      </sheetData>
      <sheetData sheetId="3809">
        <row r="52">
          <cell r="B52" t="str">
            <v>Main Panel</v>
          </cell>
        </row>
      </sheetData>
      <sheetData sheetId="3810">
        <row r="52">
          <cell r="B52" t="str">
            <v>Main Panel</v>
          </cell>
        </row>
      </sheetData>
      <sheetData sheetId="3811">
        <row r="52">
          <cell r="B52" t="str">
            <v>Main Panel</v>
          </cell>
        </row>
      </sheetData>
      <sheetData sheetId="3812">
        <row r="52">
          <cell r="B52" t="str">
            <v>Main Panel</v>
          </cell>
        </row>
      </sheetData>
      <sheetData sheetId="3813">
        <row r="52">
          <cell r="B52" t="str">
            <v>Main Panel</v>
          </cell>
        </row>
      </sheetData>
      <sheetData sheetId="3814">
        <row r="52">
          <cell r="B52" t="str">
            <v>Main Panel</v>
          </cell>
        </row>
      </sheetData>
      <sheetData sheetId="3815">
        <row r="52">
          <cell r="B52" t="str">
            <v>Main Panel</v>
          </cell>
        </row>
      </sheetData>
      <sheetData sheetId="3816">
        <row r="52">
          <cell r="B52" t="str">
            <v>Main Panel</v>
          </cell>
        </row>
      </sheetData>
      <sheetData sheetId="3817">
        <row r="52">
          <cell r="B52" t="str">
            <v>Main Panel</v>
          </cell>
        </row>
      </sheetData>
      <sheetData sheetId="3818">
        <row r="52">
          <cell r="B52" t="str">
            <v>Main Panel</v>
          </cell>
        </row>
      </sheetData>
      <sheetData sheetId="3819">
        <row r="52">
          <cell r="B52" t="str">
            <v>Main Panel</v>
          </cell>
        </row>
      </sheetData>
      <sheetData sheetId="3820">
        <row r="52">
          <cell r="B52" t="str">
            <v>Main Panel</v>
          </cell>
        </row>
      </sheetData>
      <sheetData sheetId="3821">
        <row r="52">
          <cell r="B52" t="str">
            <v>Main Panel</v>
          </cell>
        </row>
      </sheetData>
      <sheetData sheetId="3822">
        <row r="52">
          <cell r="B52" t="str">
            <v>Main Panel</v>
          </cell>
        </row>
      </sheetData>
      <sheetData sheetId="3823">
        <row r="52">
          <cell r="B52" t="str">
            <v>Main Panel</v>
          </cell>
        </row>
      </sheetData>
      <sheetData sheetId="3824">
        <row r="52">
          <cell r="B52" t="str">
            <v>Main Panel</v>
          </cell>
        </row>
      </sheetData>
      <sheetData sheetId="3825">
        <row r="52">
          <cell r="B52" t="str">
            <v>Main Panel</v>
          </cell>
        </row>
      </sheetData>
      <sheetData sheetId="3826">
        <row r="52">
          <cell r="B52" t="str">
            <v>Main Panel</v>
          </cell>
        </row>
      </sheetData>
      <sheetData sheetId="3827">
        <row r="52">
          <cell r="B52" t="str">
            <v>Main Panel</v>
          </cell>
        </row>
      </sheetData>
      <sheetData sheetId="3828">
        <row r="52">
          <cell r="B52" t="str">
            <v>Main Panel</v>
          </cell>
        </row>
      </sheetData>
      <sheetData sheetId="3829">
        <row r="52">
          <cell r="B52" t="str">
            <v>Main Panel</v>
          </cell>
        </row>
      </sheetData>
      <sheetData sheetId="3830">
        <row r="52">
          <cell r="B52" t="str">
            <v>Main Panel</v>
          </cell>
        </row>
      </sheetData>
      <sheetData sheetId="3831">
        <row r="52">
          <cell r="B52" t="str">
            <v>Main Panel</v>
          </cell>
        </row>
      </sheetData>
      <sheetData sheetId="3832">
        <row r="52">
          <cell r="B52" t="str">
            <v>Main Panel</v>
          </cell>
        </row>
      </sheetData>
      <sheetData sheetId="3833">
        <row r="52">
          <cell r="B52" t="str">
            <v>Main Panel</v>
          </cell>
        </row>
      </sheetData>
      <sheetData sheetId="3834">
        <row r="52">
          <cell r="B52" t="str">
            <v>Main Panel</v>
          </cell>
        </row>
      </sheetData>
      <sheetData sheetId="3835">
        <row r="52">
          <cell r="B52" t="str">
            <v>Main Panel</v>
          </cell>
        </row>
      </sheetData>
      <sheetData sheetId="3836">
        <row r="52">
          <cell r="B52" t="str">
            <v>Main Panel</v>
          </cell>
        </row>
      </sheetData>
      <sheetData sheetId="3837">
        <row r="52">
          <cell r="B52" t="str">
            <v>Main Panel</v>
          </cell>
        </row>
      </sheetData>
      <sheetData sheetId="3838">
        <row r="52">
          <cell r="B52" t="str">
            <v>Main Panel</v>
          </cell>
        </row>
      </sheetData>
      <sheetData sheetId="3839">
        <row r="52">
          <cell r="B52" t="str">
            <v>Main Panel</v>
          </cell>
        </row>
      </sheetData>
      <sheetData sheetId="3840">
        <row r="52">
          <cell r="B52" t="str">
            <v>Main Panel</v>
          </cell>
        </row>
      </sheetData>
      <sheetData sheetId="3841">
        <row r="52">
          <cell r="B52" t="str">
            <v>Main Panel</v>
          </cell>
        </row>
      </sheetData>
      <sheetData sheetId="3842">
        <row r="52">
          <cell r="B52" t="str">
            <v>Main Panel</v>
          </cell>
        </row>
      </sheetData>
      <sheetData sheetId="3843">
        <row r="52">
          <cell r="B52" t="str">
            <v>Main Panel</v>
          </cell>
        </row>
      </sheetData>
      <sheetData sheetId="3844">
        <row r="52">
          <cell r="B52" t="str">
            <v>Main Panel</v>
          </cell>
        </row>
      </sheetData>
      <sheetData sheetId="3845">
        <row r="52">
          <cell r="B52" t="str">
            <v>Main Panel</v>
          </cell>
        </row>
      </sheetData>
      <sheetData sheetId="3846">
        <row r="52">
          <cell r="B52" t="str">
            <v>Main Panel</v>
          </cell>
        </row>
      </sheetData>
      <sheetData sheetId="3847">
        <row r="52">
          <cell r="B52" t="str">
            <v>Main Panel</v>
          </cell>
        </row>
      </sheetData>
      <sheetData sheetId="3848">
        <row r="52">
          <cell r="B52" t="str">
            <v>Main Panel</v>
          </cell>
        </row>
      </sheetData>
      <sheetData sheetId="3849">
        <row r="52">
          <cell r="B52" t="str">
            <v>Main Panel</v>
          </cell>
        </row>
      </sheetData>
      <sheetData sheetId="3850">
        <row r="52">
          <cell r="B52" t="str">
            <v>Main Panel</v>
          </cell>
        </row>
      </sheetData>
      <sheetData sheetId="3851">
        <row r="52">
          <cell r="B52" t="str">
            <v>Main Panel</v>
          </cell>
        </row>
      </sheetData>
      <sheetData sheetId="3852">
        <row r="52">
          <cell r="B52" t="str">
            <v>Main Panel</v>
          </cell>
        </row>
      </sheetData>
      <sheetData sheetId="3853">
        <row r="52">
          <cell r="B52" t="str">
            <v>Main Panel</v>
          </cell>
        </row>
      </sheetData>
      <sheetData sheetId="3854">
        <row r="52">
          <cell r="B52" t="str">
            <v>Main Panel</v>
          </cell>
        </row>
      </sheetData>
      <sheetData sheetId="3855">
        <row r="52">
          <cell r="B52" t="str">
            <v>Main Panel</v>
          </cell>
        </row>
      </sheetData>
      <sheetData sheetId="3856">
        <row r="52">
          <cell r="B52" t="str">
            <v>Main Panel</v>
          </cell>
        </row>
      </sheetData>
      <sheetData sheetId="3857">
        <row r="52">
          <cell r="B52" t="str">
            <v>Main Panel</v>
          </cell>
        </row>
      </sheetData>
      <sheetData sheetId="3858">
        <row r="52">
          <cell r="B52" t="str">
            <v>Main Panel</v>
          </cell>
        </row>
      </sheetData>
      <sheetData sheetId="3859">
        <row r="52">
          <cell r="B52" t="str">
            <v>Main Panel</v>
          </cell>
        </row>
      </sheetData>
      <sheetData sheetId="3860">
        <row r="52">
          <cell r="B52" t="str">
            <v>Main Panel</v>
          </cell>
        </row>
      </sheetData>
      <sheetData sheetId="3861">
        <row r="52">
          <cell r="B52" t="str">
            <v>Main Panel</v>
          </cell>
        </row>
      </sheetData>
      <sheetData sheetId="3862">
        <row r="52">
          <cell r="B52" t="str">
            <v>Main Panel</v>
          </cell>
        </row>
      </sheetData>
      <sheetData sheetId="3863">
        <row r="52">
          <cell r="B52" t="str">
            <v>Main Panel</v>
          </cell>
        </row>
      </sheetData>
      <sheetData sheetId="3864">
        <row r="52">
          <cell r="B52" t="str">
            <v>Main Panel</v>
          </cell>
        </row>
      </sheetData>
      <sheetData sheetId="3865">
        <row r="52">
          <cell r="B52" t="str">
            <v>Main Panel</v>
          </cell>
        </row>
      </sheetData>
      <sheetData sheetId="3866">
        <row r="52">
          <cell r="B52" t="str">
            <v>Main Panel</v>
          </cell>
        </row>
      </sheetData>
      <sheetData sheetId="3867">
        <row r="52">
          <cell r="B52" t="str">
            <v>Main Panel</v>
          </cell>
        </row>
      </sheetData>
      <sheetData sheetId="3868">
        <row r="52">
          <cell r="B52" t="str">
            <v>Main Panel</v>
          </cell>
        </row>
      </sheetData>
      <sheetData sheetId="3869">
        <row r="52">
          <cell r="B52" t="str">
            <v>Main Panel</v>
          </cell>
        </row>
      </sheetData>
      <sheetData sheetId="3870">
        <row r="52">
          <cell r="B52" t="str">
            <v>Main Panel</v>
          </cell>
        </row>
      </sheetData>
      <sheetData sheetId="3871">
        <row r="52">
          <cell r="B52" t="str">
            <v>Main Panel</v>
          </cell>
        </row>
      </sheetData>
      <sheetData sheetId="3872">
        <row r="52">
          <cell r="B52" t="str">
            <v>Main Panel</v>
          </cell>
        </row>
      </sheetData>
      <sheetData sheetId="3873">
        <row r="52">
          <cell r="B52" t="str">
            <v>Main Panel</v>
          </cell>
        </row>
      </sheetData>
      <sheetData sheetId="3874">
        <row r="52">
          <cell r="B52" t="str">
            <v>Main Panel</v>
          </cell>
        </row>
      </sheetData>
      <sheetData sheetId="3875">
        <row r="52">
          <cell r="B52" t="str">
            <v>Main Panel</v>
          </cell>
        </row>
      </sheetData>
      <sheetData sheetId="3876">
        <row r="52">
          <cell r="B52" t="str">
            <v>Main Panel</v>
          </cell>
        </row>
      </sheetData>
      <sheetData sheetId="3877">
        <row r="52">
          <cell r="B52" t="str">
            <v>Main Panel</v>
          </cell>
        </row>
      </sheetData>
      <sheetData sheetId="3878">
        <row r="52">
          <cell r="B52" t="str">
            <v>Main Panel</v>
          </cell>
        </row>
      </sheetData>
      <sheetData sheetId="3879">
        <row r="52">
          <cell r="B52" t="str">
            <v>Main Panel</v>
          </cell>
        </row>
      </sheetData>
      <sheetData sheetId="3880">
        <row r="52">
          <cell r="B52" t="str">
            <v>Main Panel</v>
          </cell>
        </row>
      </sheetData>
      <sheetData sheetId="3881">
        <row r="52">
          <cell r="B52" t="str">
            <v>Main Panel</v>
          </cell>
        </row>
      </sheetData>
      <sheetData sheetId="3882">
        <row r="52">
          <cell r="B52" t="str">
            <v>Main Panel</v>
          </cell>
        </row>
      </sheetData>
      <sheetData sheetId="3883">
        <row r="52">
          <cell r="B52" t="str">
            <v>Main Panel</v>
          </cell>
        </row>
      </sheetData>
      <sheetData sheetId="3884">
        <row r="52">
          <cell r="B52" t="str">
            <v>Main Panel</v>
          </cell>
        </row>
      </sheetData>
      <sheetData sheetId="3885">
        <row r="52">
          <cell r="B52" t="str">
            <v>Main Panel</v>
          </cell>
        </row>
      </sheetData>
      <sheetData sheetId="3886">
        <row r="52">
          <cell r="B52" t="str">
            <v>Main Panel</v>
          </cell>
        </row>
      </sheetData>
      <sheetData sheetId="3887">
        <row r="52">
          <cell r="B52" t="str">
            <v>Main Panel</v>
          </cell>
        </row>
      </sheetData>
      <sheetData sheetId="3888">
        <row r="52">
          <cell r="B52" t="str">
            <v>Main Panel</v>
          </cell>
        </row>
      </sheetData>
      <sheetData sheetId="3889">
        <row r="52">
          <cell r="B52" t="str">
            <v>Main Panel</v>
          </cell>
        </row>
      </sheetData>
      <sheetData sheetId="3890">
        <row r="52">
          <cell r="B52" t="str">
            <v>Main Panel</v>
          </cell>
        </row>
      </sheetData>
      <sheetData sheetId="3891">
        <row r="52">
          <cell r="B52" t="str">
            <v>Main Panel</v>
          </cell>
        </row>
      </sheetData>
      <sheetData sheetId="3892">
        <row r="52">
          <cell r="B52" t="str">
            <v>Main Panel</v>
          </cell>
        </row>
      </sheetData>
      <sheetData sheetId="3893">
        <row r="52">
          <cell r="B52" t="str">
            <v>Main Panel</v>
          </cell>
        </row>
      </sheetData>
      <sheetData sheetId="3894">
        <row r="52">
          <cell r="B52" t="str">
            <v>Main Panel</v>
          </cell>
        </row>
      </sheetData>
      <sheetData sheetId="3895">
        <row r="52">
          <cell r="B52" t="str">
            <v>Main Panel</v>
          </cell>
        </row>
      </sheetData>
      <sheetData sheetId="3896">
        <row r="52">
          <cell r="B52" t="str">
            <v>Main Panel</v>
          </cell>
        </row>
      </sheetData>
      <sheetData sheetId="3897">
        <row r="52">
          <cell r="B52" t="str">
            <v>Main Panel</v>
          </cell>
        </row>
      </sheetData>
      <sheetData sheetId="3898">
        <row r="52">
          <cell r="B52" t="str">
            <v>Main Panel</v>
          </cell>
        </row>
      </sheetData>
      <sheetData sheetId="3899">
        <row r="52">
          <cell r="B52" t="str">
            <v>Main Panel</v>
          </cell>
        </row>
      </sheetData>
      <sheetData sheetId="3900">
        <row r="52">
          <cell r="B52" t="str">
            <v>Main Panel</v>
          </cell>
        </row>
      </sheetData>
      <sheetData sheetId="3901">
        <row r="52">
          <cell r="B52" t="str">
            <v>Main Panel</v>
          </cell>
        </row>
      </sheetData>
      <sheetData sheetId="3902">
        <row r="52">
          <cell r="B52" t="str">
            <v>Main Panel</v>
          </cell>
        </row>
      </sheetData>
      <sheetData sheetId="3903">
        <row r="52">
          <cell r="B52" t="str">
            <v>Main Panel</v>
          </cell>
        </row>
      </sheetData>
      <sheetData sheetId="3904">
        <row r="52">
          <cell r="B52" t="str">
            <v>Main Panel</v>
          </cell>
        </row>
      </sheetData>
      <sheetData sheetId="3905">
        <row r="52">
          <cell r="B52" t="str">
            <v>Main Panel</v>
          </cell>
        </row>
      </sheetData>
      <sheetData sheetId="3906">
        <row r="52">
          <cell r="B52" t="str">
            <v>Main Panel</v>
          </cell>
        </row>
      </sheetData>
      <sheetData sheetId="3907">
        <row r="52">
          <cell r="B52" t="str">
            <v>Main Panel</v>
          </cell>
        </row>
      </sheetData>
      <sheetData sheetId="3908">
        <row r="52">
          <cell r="B52" t="str">
            <v>Main Panel</v>
          </cell>
        </row>
      </sheetData>
      <sheetData sheetId="3909">
        <row r="52">
          <cell r="B52" t="str">
            <v>Main Panel</v>
          </cell>
        </row>
      </sheetData>
      <sheetData sheetId="3910">
        <row r="52">
          <cell r="B52" t="str">
            <v>Main Panel</v>
          </cell>
        </row>
      </sheetData>
      <sheetData sheetId="3911">
        <row r="52">
          <cell r="B52" t="str">
            <v>Main Panel</v>
          </cell>
        </row>
      </sheetData>
      <sheetData sheetId="3912">
        <row r="52">
          <cell r="B52" t="str">
            <v>Main Panel</v>
          </cell>
        </row>
      </sheetData>
      <sheetData sheetId="3913">
        <row r="52">
          <cell r="B52" t="str">
            <v>Main Panel</v>
          </cell>
        </row>
      </sheetData>
      <sheetData sheetId="3914">
        <row r="52">
          <cell r="B52" t="str">
            <v>Main Panel</v>
          </cell>
        </row>
      </sheetData>
      <sheetData sheetId="3915">
        <row r="52">
          <cell r="B52" t="str">
            <v>Main Panel</v>
          </cell>
        </row>
      </sheetData>
      <sheetData sheetId="3916">
        <row r="52">
          <cell r="B52" t="str">
            <v>Main Panel</v>
          </cell>
        </row>
      </sheetData>
      <sheetData sheetId="3917">
        <row r="52">
          <cell r="B52" t="str">
            <v>Main Panel</v>
          </cell>
        </row>
      </sheetData>
      <sheetData sheetId="3918">
        <row r="52">
          <cell r="B52" t="str">
            <v>Main Panel</v>
          </cell>
        </row>
      </sheetData>
      <sheetData sheetId="3919">
        <row r="52">
          <cell r="B52" t="str">
            <v>Main Panel</v>
          </cell>
        </row>
      </sheetData>
      <sheetData sheetId="3920">
        <row r="52">
          <cell r="B52" t="str">
            <v>Main Panel</v>
          </cell>
        </row>
      </sheetData>
      <sheetData sheetId="3921">
        <row r="52">
          <cell r="B52" t="str">
            <v>Main Panel</v>
          </cell>
        </row>
      </sheetData>
      <sheetData sheetId="3922">
        <row r="52">
          <cell r="B52" t="str">
            <v>Main Panel</v>
          </cell>
        </row>
      </sheetData>
      <sheetData sheetId="3923">
        <row r="52">
          <cell r="B52" t="str">
            <v>Main Panel</v>
          </cell>
        </row>
      </sheetData>
      <sheetData sheetId="3924">
        <row r="52">
          <cell r="B52" t="str">
            <v>Main Panel</v>
          </cell>
        </row>
      </sheetData>
      <sheetData sheetId="3925">
        <row r="52">
          <cell r="B52" t="str">
            <v>Main Panel</v>
          </cell>
        </row>
      </sheetData>
      <sheetData sheetId="3926">
        <row r="52">
          <cell r="B52" t="str">
            <v>Main Panel</v>
          </cell>
        </row>
      </sheetData>
      <sheetData sheetId="3927">
        <row r="52">
          <cell r="B52" t="str">
            <v>Main Panel</v>
          </cell>
        </row>
      </sheetData>
      <sheetData sheetId="3928">
        <row r="52">
          <cell r="B52" t="str">
            <v>Main Panel</v>
          </cell>
        </row>
      </sheetData>
      <sheetData sheetId="3929">
        <row r="52">
          <cell r="B52" t="str">
            <v>Main Panel</v>
          </cell>
        </row>
      </sheetData>
      <sheetData sheetId="3930">
        <row r="52">
          <cell r="B52" t="str">
            <v>Main Panel</v>
          </cell>
        </row>
      </sheetData>
      <sheetData sheetId="3931">
        <row r="52">
          <cell r="B52" t="str">
            <v>Main Panel</v>
          </cell>
        </row>
      </sheetData>
      <sheetData sheetId="3932">
        <row r="52">
          <cell r="B52" t="str">
            <v>Main Panel</v>
          </cell>
        </row>
      </sheetData>
      <sheetData sheetId="3933">
        <row r="52">
          <cell r="B52" t="str">
            <v>Main Panel</v>
          </cell>
        </row>
      </sheetData>
      <sheetData sheetId="3934">
        <row r="52">
          <cell r="B52" t="str">
            <v>Main Panel</v>
          </cell>
        </row>
      </sheetData>
      <sheetData sheetId="3935">
        <row r="52">
          <cell r="B52" t="str">
            <v>Main Panel</v>
          </cell>
        </row>
      </sheetData>
      <sheetData sheetId="3936">
        <row r="52">
          <cell r="B52" t="str">
            <v>Main Panel</v>
          </cell>
        </row>
      </sheetData>
      <sheetData sheetId="3937">
        <row r="52">
          <cell r="B52" t="str">
            <v>Main Panel</v>
          </cell>
        </row>
      </sheetData>
      <sheetData sheetId="3938">
        <row r="52">
          <cell r="B52" t="str">
            <v>Main Panel</v>
          </cell>
        </row>
      </sheetData>
      <sheetData sheetId="3939">
        <row r="52">
          <cell r="B52" t="str">
            <v>Main Panel</v>
          </cell>
        </row>
      </sheetData>
      <sheetData sheetId="3940">
        <row r="52">
          <cell r="B52" t="str">
            <v>Main Panel</v>
          </cell>
        </row>
      </sheetData>
      <sheetData sheetId="3941">
        <row r="52">
          <cell r="B52" t="str">
            <v>Main Panel</v>
          </cell>
        </row>
      </sheetData>
      <sheetData sheetId="3942">
        <row r="52">
          <cell r="B52" t="str">
            <v>Main Panel</v>
          </cell>
        </row>
      </sheetData>
      <sheetData sheetId="3943">
        <row r="52">
          <cell r="B52" t="str">
            <v>Main Panel</v>
          </cell>
        </row>
      </sheetData>
      <sheetData sheetId="3944">
        <row r="52">
          <cell r="B52" t="str">
            <v>Main Panel</v>
          </cell>
        </row>
      </sheetData>
      <sheetData sheetId="3945">
        <row r="52">
          <cell r="B52" t="str">
            <v>Main Panel</v>
          </cell>
        </row>
      </sheetData>
      <sheetData sheetId="3946">
        <row r="52">
          <cell r="B52" t="str">
            <v>Main Panel</v>
          </cell>
        </row>
      </sheetData>
      <sheetData sheetId="3947">
        <row r="52">
          <cell r="B52" t="str">
            <v>Main Panel</v>
          </cell>
        </row>
      </sheetData>
      <sheetData sheetId="3948">
        <row r="52">
          <cell r="B52" t="str">
            <v>Main Panel</v>
          </cell>
        </row>
      </sheetData>
      <sheetData sheetId="3949">
        <row r="52">
          <cell r="B52" t="str">
            <v>Main Panel</v>
          </cell>
        </row>
      </sheetData>
      <sheetData sheetId="3950">
        <row r="52">
          <cell r="B52" t="str">
            <v>Main Panel</v>
          </cell>
        </row>
      </sheetData>
      <sheetData sheetId="3951">
        <row r="52">
          <cell r="B52" t="str">
            <v>Main Panel</v>
          </cell>
        </row>
      </sheetData>
      <sheetData sheetId="3952">
        <row r="52">
          <cell r="B52" t="str">
            <v>Main Panel</v>
          </cell>
        </row>
      </sheetData>
      <sheetData sheetId="3953">
        <row r="52">
          <cell r="B52" t="str">
            <v>Main Panel</v>
          </cell>
        </row>
      </sheetData>
      <sheetData sheetId="3954">
        <row r="52">
          <cell r="B52" t="str">
            <v>Main Panel</v>
          </cell>
        </row>
      </sheetData>
      <sheetData sheetId="3955">
        <row r="52">
          <cell r="B52" t="str">
            <v>Main Panel</v>
          </cell>
        </row>
      </sheetData>
      <sheetData sheetId="3956">
        <row r="52">
          <cell r="B52" t="str">
            <v>Main Panel</v>
          </cell>
        </row>
      </sheetData>
      <sheetData sheetId="3957">
        <row r="52">
          <cell r="B52" t="str">
            <v>Main Panel</v>
          </cell>
        </row>
      </sheetData>
      <sheetData sheetId="3958">
        <row r="52">
          <cell r="B52" t="str">
            <v>Main Panel</v>
          </cell>
        </row>
      </sheetData>
      <sheetData sheetId="3959">
        <row r="52">
          <cell r="B52" t="str">
            <v>Main Panel</v>
          </cell>
        </row>
      </sheetData>
      <sheetData sheetId="3960">
        <row r="52">
          <cell r="B52" t="str">
            <v>Main Panel</v>
          </cell>
        </row>
      </sheetData>
      <sheetData sheetId="3961">
        <row r="52">
          <cell r="B52" t="str">
            <v>Main Panel</v>
          </cell>
        </row>
      </sheetData>
      <sheetData sheetId="3962">
        <row r="52">
          <cell r="B52" t="str">
            <v>Main Panel</v>
          </cell>
        </row>
      </sheetData>
      <sheetData sheetId="3963">
        <row r="52">
          <cell r="B52" t="str">
            <v>Main Panel</v>
          </cell>
        </row>
      </sheetData>
      <sheetData sheetId="3964">
        <row r="52">
          <cell r="B52" t="str">
            <v>Main Panel</v>
          </cell>
        </row>
      </sheetData>
      <sheetData sheetId="3965">
        <row r="52">
          <cell r="B52" t="str">
            <v>Main Panel</v>
          </cell>
        </row>
      </sheetData>
      <sheetData sheetId="3966">
        <row r="52">
          <cell r="B52" t="str">
            <v>Main Panel</v>
          </cell>
        </row>
      </sheetData>
      <sheetData sheetId="3967">
        <row r="52">
          <cell r="B52" t="str">
            <v>Main Panel</v>
          </cell>
        </row>
      </sheetData>
      <sheetData sheetId="3968">
        <row r="52">
          <cell r="B52" t="str">
            <v>Main Panel</v>
          </cell>
        </row>
      </sheetData>
      <sheetData sheetId="3969">
        <row r="52">
          <cell r="B52" t="str">
            <v>Main Panel</v>
          </cell>
        </row>
      </sheetData>
      <sheetData sheetId="3970">
        <row r="52">
          <cell r="B52" t="str">
            <v>Main Panel</v>
          </cell>
        </row>
      </sheetData>
      <sheetData sheetId="3971">
        <row r="52">
          <cell r="B52" t="str">
            <v>Main Panel</v>
          </cell>
        </row>
      </sheetData>
      <sheetData sheetId="3972">
        <row r="52">
          <cell r="B52" t="str">
            <v>Main Panel</v>
          </cell>
        </row>
      </sheetData>
      <sheetData sheetId="3973">
        <row r="52">
          <cell r="B52" t="str">
            <v>Main Panel</v>
          </cell>
        </row>
      </sheetData>
      <sheetData sheetId="3974">
        <row r="52">
          <cell r="B52" t="str">
            <v>Main Panel</v>
          </cell>
        </row>
      </sheetData>
      <sheetData sheetId="3975">
        <row r="52">
          <cell r="B52" t="str">
            <v>Main Panel</v>
          </cell>
        </row>
      </sheetData>
      <sheetData sheetId="3976">
        <row r="52">
          <cell r="B52" t="str">
            <v>Main Panel</v>
          </cell>
        </row>
      </sheetData>
      <sheetData sheetId="3977">
        <row r="52">
          <cell r="B52" t="str">
            <v>Main Panel</v>
          </cell>
        </row>
      </sheetData>
      <sheetData sheetId="3978">
        <row r="52">
          <cell r="B52" t="str">
            <v>Main Panel</v>
          </cell>
        </row>
      </sheetData>
      <sheetData sheetId="3979">
        <row r="52">
          <cell r="B52" t="str">
            <v>Main Panel</v>
          </cell>
        </row>
      </sheetData>
      <sheetData sheetId="3980">
        <row r="52">
          <cell r="B52" t="str">
            <v>Main Panel</v>
          </cell>
        </row>
      </sheetData>
      <sheetData sheetId="3981">
        <row r="52">
          <cell r="B52" t="str">
            <v>Main Panel</v>
          </cell>
        </row>
      </sheetData>
      <sheetData sheetId="3982">
        <row r="52">
          <cell r="B52" t="str">
            <v>Main Panel</v>
          </cell>
        </row>
      </sheetData>
      <sheetData sheetId="3983">
        <row r="52">
          <cell r="B52" t="str">
            <v>Main Panel</v>
          </cell>
        </row>
      </sheetData>
      <sheetData sheetId="3984">
        <row r="52">
          <cell r="B52" t="str">
            <v>Main Panel</v>
          </cell>
        </row>
      </sheetData>
      <sheetData sheetId="3985">
        <row r="52">
          <cell r="B52" t="str">
            <v>Main Panel</v>
          </cell>
        </row>
      </sheetData>
      <sheetData sheetId="3986">
        <row r="52">
          <cell r="B52" t="str">
            <v>Main Panel</v>
          </cell>
        </row>
      </sheetData>
      <sheetData sheetId="3987">
        <row r="52">
          <cell r="B52" t="str">
            <v>Main Panel</v>
          </cell>
        </row>
      </sheetData>
      <sheetData sheetId="3988">
        <row r="52">
          <cell r="B52" t="str">
            <v>Main Panel</v>
          </cell>
        </row>
      </sheetData>
      <sheetData sheetId="3989">
        <row r="52">
          <cell r="B52" t="str">
            <v>Main Panel</v>
          </cell>
        </row>
      </sheetData>
      <sheetData sheetId="3990">
        <row r="52">
          <cell r="B52" t="str">
            <v>Main Panel</v>
          </cell>
        </row>
      </sheetData>
      <sheetData sheetId="3991">
        <row r="52">
          <cell r="B52" t="str">
            <v>Main Panel</v>
          </cell>
        </row>
      </sheetData>
      <sheetData sheetId="3992">
        <row r="52">
          <cell r="B52" t="str">
            <v>Main Panel</v>
          </cell>
        </row>
      </sheetData>
      <sheetData sheetId="3993">
        <row r="52">
          <cell r="B52" t="str">
            <v>Main Panel</v>
          </cell>
        </row>
      </sheetData>
      <sheetData sheetId="3994">
        <row r="52">
          <cell r="B52" t="str">
            <v>Main Panel</v>
          </cell>
        </row>
      </sheetData>
      <sheetData sheetId="3995">
        <row r="52">
          <cell r="B52" t="str">
            <v>Main Panel</v>
          </cell>
        </row>
      </sheetData>
      <sheetData sheetId="3996">
        <row r="52">
          <cell r="B52" t="str">
            <v>Main Panel</v>
          </cell>
        </row>
      </sheetData>
      <sheetData sheetId="3997">
        <row r="52">
          <cell r="B52" t="str">
            <v>Main Panel</v>
          </cell>
        </row>
      </sheetData>
      <sheetData sheetId="3998">
        <row r="52">
          <cell r="B52" t="str">
            <v>Main Panel</v>
          </cell>
        </row>
      </sheetData>
      <sheetData sheetId="3999">
        <row r="52">
          <cell r="B52" t="str">
            <v>Main Panel</v>
          </cell>
        </row>
      </sheetData>
      <sheetData sheetId="4000">
        <row r="52">
          <cell r="B52" t="str">
            <v>Main Panel</v>
          </cell>
        </row>
      </sheetData>
      <sheetData sheetId="4001">
        <row r="52">
          <cell r="B52" t="str">
            <v>Main Panel</v>
          </cell>
        </row>
      </sheetData>
      <sheetData sheetId="4002">
        <row r="52">
          <cell r="B52" t="str">
            <v>Main Panel</v>
          </cell>
        </row>
      </sheetData>
      <sheetData sheetId="4003">
        <row r="52">
          <cell r="B52" t="str">
            <v>Main Panel</v>
          </cell>
        </row>
      </sheetData>
      <sheetData sheetId="4004">
        <row r="52">
          <cell r="B52" t="str">
            <v>Main Panel</v>
          </cell>
        </row>
      </sheetData>
      <sheetData sheetId="4005">
        <row r="52">
          <cell r="B52" t="str">
            <v>Main Panel</v>
          </cell>
        </row>
      </sheetData>
      <sheetData sheetId="4006">
        <row r="52">
          <cell r="B52" t="str">
            <v>Main Panel</v>
          </cell>
        </row>
      </sheetData>
      <sheetData sheetId="4007">
        <row r="52">
          <cell r="B52" t="str">
            <v>Main Panel</v>
          </cell>
        </row>
      </sheetData>
      <sheetData sheetId="4008">
        <row r="52">
          <cell r="B52" t="str">
            <v>Main Panel</v>
          </cell>
        </row>
      </sheetData>
      <sheetData sheetId="4009">
        <row r="52">
          <cell r="B52" t="str">
            <v>Main Panel</v>
          </cell>
        </row>
      </sheetData>
      <sheetData sheetId="4010">
        <row r="52">
          <cell r="B52" t="str">
            <v>Main Panel</v>
          </cell>
        </row>
      </sheetData>
      <sheetData sheetId="4011">
        <row r="52">
          <cell r="B52" t="str">
            <v>Main Panel</v>
          </cell>
        </row>
      </sheetData>
      <sheetData sheetId="4012">
        <row r="52">
          <cell r="B52" t="str">
            <v>Main Panel</v>
          </cell>
        </row>
      </sheetData>
      <sheetData sheetId="4013">
        <row r="52">
          <cell r="B52" t="str">
            <v>Main Panel</v>
          </cell>
        </row>
      </sheetData>
      <sheetData sheetId="4014">
        <row r="52">
          <cell r="B52" t="str">
            <v>Main Panel</v>
          </cell>
        </row>
      </sheetData>
      <sheetData sheetId="4015">
        <row r="52">
          <cell r="B52" t="str">
            <v>Main Panel</v>
          </cell>
        </row>
      </sheetData>
      <sheetData sheetId="4016">
        <row r="52">
          <cell r="B52" t="str">
            <v>Main Panel</v>
          </cell>
        </row>
      </sheetData>
      <sheetData sheetId="4017">
        <row r="52">
          <cell r="B52" t="str">
            <v>Main Panel</v>
          </cell>
        </row>
      </sheetData>
      <sheetData sheetId="4018">
        <row r="52">
          <cell r="B52" t="str">
            <v>Main Panel</v>
          </cell>
        </row>
      </sheetData>
      <sheetData sheetId="4019">
        <row r="52">
          <cell r="B52" t="str">
            <v>Main Panel</v>
          </cell>
        </row>
      </sheetData>
      <sheetData sheetId="4020">
        <row r="52">
          <cell r="B52" t="str">
            <v>Main Panel</v>
          </cell>
        </row>
      </sheetData>
      <sheetData sheetId="4021">
        <row r="52">
          <cell r="B52" t="str">
            <v>Main Panel</v>
          </cell>
        </row>
      </sheetData>
      <sheetData sheetId="4022">
        <row r="52">
          <cell r="B52" t="str">
            <v>Main Panel</v>
          </cell>
        </row>
      </sheetData>
      <sheetData sheetId="4023">
        <row r="52">
          <cell r="B52" t="str">
            <v>Main Panel</v>
          </cell>
        </row>
      </sheetData>
      <sheetData sheetId="4024">
        <row r="52">
          <cell r="B52" t="str">
            <v>Main Panel</v>
          </cell>
        </row>
      </sheetData>
      <sheetData sheetId="4025">
        <row r="52">
          <cell r="B52" t="str">
            <v>Main Panel</v>
          </cell>
        </row>
      </sheetData>
      <sheetData sheetId="4026">
        <row r="52">
          <cell r="B52" t="str">
            <v>Main Panel</v>
          </cell>
        </row>
      </sheetData>
      <sheetData sheetId="4027">
        <row r="52">
          <cell r="B52" t="str">
            <v>Main Panel</v>
          </cell>
        </row>
      </sheetData>
      <sheetData sheetId="4028">
        <row r="52">
          <cell r="B52" t="str">
            <v>Main Panel</v>
          </cell>
        </row>
      </sheetData>
      <sheetData sheetId="4029">
        <row r="52">
          <cell r="B52" t="str">
            <v>Main Panel</v>
          </cell>
        </row>
      </sheetData>
      <sheetData sheetId="4030">
        <row r="52">
          <cell r="B52" t="str">
            <v>Main Panel</v>
          </cell>
        </row>
      </sheetData>
      <sheetData sheetId="4031">
        <row r="52">
          <cell r="B52" t="str">
            <v>Main Panel</v>
          </cell>
        </row>
      </sheetData>
      <sheetData sheetId="4032">
        <row r="52">
          <cell r="B52" t="str">
            <v>Main Panel</v>
          </cell>
        </row>
      </sheetData>
      <sheetData sheetId="4033">
        <row r="52">
          <cell r="B52" t="str">
            <v>Main Panel</v>
          </cell>
        </row>
      </sheetData>
      <sheetData sheetId="4034">
        <row r="52">
          <cell r="B52" t="str">
            <v>Main Panel</v>
          </cell>
        </row>
      </sheetData>
      <sheetData sheetId="4035">
        <row r="52">
          <cell r="B52" t="str">
            <v>Main Panel</v>
          </cell>
        </row>
      </sheetData>
      <sheetData sheetId="4036">
        <row r="52">
          <cell r="B52" t="str">
            <v>Main Panel</v>
          </cell>
        </row>
      </sheetData>
      <sheetData sheetId="4037">
        <row r="52">
          <cell r="B52" t="str">
            <v>Main Panel</v>
          </cell>
        </row>
      </sheetData>
      <sheetData sheetId="4038">
        <row r="52">
          <cell r="B52" t="str">
            <v>Main Panel</v>
          </cell>
        </row>
      </sheetData>
      <sheetData sheetId="4039">
        <row r="52">
          <cell r="B52" t="str">
            <v>Main Panel</v>
          </cell>
        </row>
      </sheetData>
      <sheetData sheetId="4040">
        <row r="52">
          <cell r="B52" t="str">
            <v>Main Panel</v>
          </cell>
        </row>
      </sheetData>
      <sheetData sheetId="4041">
        <row r="52">
          <cell r="B52" t="str">
            <v>Main Panel</v>
          </cell>
        </row>
      </sheetData>
      <sheetData sheetId="4042">
        <row r="52">
          <cell r="B52" t="str">
            <v>Main Panel</v>
          </cell>
        </row>
      </sheetData>
      <sheetData sheetId="4043">
        <row r="52">
          <cell r="B52" t="str">
            <v>Main Panel</v>
          </cell>
        </row>
      </sheetData>
      <sheetData sheetId="4044">
        <row r="52">
          <cell r="B52" t="str">
            <v>Main Panel</v>
          </cell>
        </row>
      </sheetData>
      <sheetData sheetId="4045">
        <row r="52">
          <cell r="B52" t="str">
            <v>Main Panel</v>
          </cell>
        </row>
      </sheetData>
      <sheetData sheetId="4046">
        <row r="52">
          <cell r="B52" t="str">
            <v>Main Panel</v>
          </cell>
        </row>
      </sheetData>
      <sheetData sheetId="4047">
        <row r="52">
          <cell r="B52" t="str">
            <v>Main Panel</v>
          </cell>
        </row>
      </sheetData>
      <sheetData sheetId="4048">
        <row r="52">
          <cell r="B52" t="str">
            <v>Main Panel</v>
          </cell>
        </row>
      </sheetData>
      <sheetData sheetId="4049">
        <row r="52">
          <cell r="B52" t="str">
            <v>Main Panel</v>
          </cell>
        </row>
      </sheetData>
      <sheetData sheetId="4050">
        <row r="52">
          <cell r="B52" t="str">
            <v>Main Panel</v>
          </cell>
        </row>
      </sheetData>
      <sheetData sheetId="4051">
        <row r="52">
          <cell r="B52" t="str">
            <v>Main Panel</v>
          </cell>
        </row>
      </sheetData>
      <sheetData sheetId="4052">
        <row r="52">
          <cell r="B52" t="str">
            <v>Main Panel</v>
          </cell>
        </row>
      </sheetData>
      <sheetData sheetId="4053">
        <row r="52">
          <cell r="B52" t="str">
            <v>Main Panel</v>
          </cell>
        </row>
      </sheetData>
      <sheetData sheetId="4054">
        <row r="52">
          <cell r="B52" t="str">
            <v>Main Panel</v>
          </cell>
        </row>
      </sheetData>
      <sheetData sheetId="4055">
        <row r="52">
          <cell r="B52" t="str">
            <v>Main Panel</v>
          </cell>
        </row>
      </sheetData>
      <sheetData sheetId="4056">
        <row r="52">
          <cell r="B52" t="str">
            <v>Main Panel</v>
          </cell>
        </row>
      </sheetData>
      <sheetData sheetId="4057">
        <row r="52">
          <cell r="B52" t="str">
            <v>Main Panel</v>
          </cell>
        </row>
      </sheetData>
      <sheetData sheetId="4058">
        <row r="52">
          <cell r="B52" t="str">
            <v>Main Panel</v>
          </cell>
        </row>
      </sheetData>
      <sheetData sheetId="4059">
        <row r="52">
          <cell r="B52" t="str">
            <v>Main Panel</v>
          </cell>
        </row>
      </sheetData>
      <sheetData sheetId="4060">
        <row r="52">
          <cell r="B52" t="str">
            <v>Main Panel</v>
          </cell>
        </row>
      </sheetData>
      <sheetData sheetId="4061">
        <row r="52">
          <cell r="B52" t="str">
            <v>Main Panel</v>
          </cell>
        </row>
      </sheetData>
      <sheetData sheetId="4062">
        <row r="52">
          <cell r="B52" t="str">
            <v>Main Panel</v>
          </cell>
        </row>
      </sheetData>
      <sheetData sheetId="4063">
        <row r="52">
          <cell r="B52" t="str">
            <v>Main Panel</v>
          </cell>
        </row>
      </sheetData>
      <sheetData sheetId="4064">
        <row r="52">
          <cell r="B52" t="str">
            <v>Main Panel</v>
          </cell>
        </row>
      </sheetData>
      <sheetData sheetId="4065">
        <row r="52">
          <cell r="B52" t="str">
            <v>Main Panel</v>
          </cell>
        </row>
      </sheetData>
      <sheetData sheetId="4066">
        <row r="52">
          <cell r="B52" t="str">
            <v>Main Panel</v>
          </cell>
        </row>
      </sheetData>
      <sheetData sheetId="4067">
        <row r="52">
          <cell r="B52" t="str">
            <v>Main Panel</v>
          </cell>
        </row>
      </sheetData>
      <sheetData sheetId="4068">
        <row r="52">
          <cell r="B52" t="str">
            <v>Main Panel</v>
          </cell>
        </row>
      </sheetData>
      <sheetData sheetId="4069">
        <row r="52">
          <cell r="B52" t="str">
            <v>Main Panel</v>
          </cell>
        </row>
      </sheetData>
      <sheetData sheetId="4070">
        <row r="52">
          <cell r="B52" t="str">
            <v>Main Panel</v>
          </cell>
        </row>
      </sheetData>
      <sheetData sheetId="4071">
        <row r="52">
          <cell r="B52" t="str">
            <v>Main Panel</v>
          </cell>
        </row>
      </sheetData>
      <sheetData sheetId="4072">
        <row r="52">
          <cell r="B52" t="str">
            <v>Main Panel</v>
          </cell>
        </row>
      </sheetData>
      <sheetData sheetId="4073">
        <row r="52">
          <cell r="B52" t="str">
            <v>Main Panel</v>
          </cell>
        </row>
      </sheetData>
      <sheetData sheetId="4074">
        <row r="52">
          <cell r="B52" t="str">
            <v>Main Panel</v>
          </cell>
        </row>
      </sheetData>
      <sheetData sheetId="4075">
        <row r="52">
          <cell r="B52" t="str">
            <v>Main Panel</v>
          </cell>
        </row>
      </sheetData>
      <sheetData sheetId="4076">
        <row r="52">
          <cell r="B52" t="str">
            <v>Main Panel</v>
          </cell>
        </row>
      </sheetData>
      <sheetData sheetId="4077">
        <row r="52">
          <cell r="B52" t="str">
            <v>Main Panel</v>
          </cell>
        </row>
      </sheetData>
      <sheetData sheetId="4078">
        <row r="52">
          <cell r="B52" t="str">
            <v>Main Panel</v>
          </cell>
        </row>
      </sheetData>
      <sheetData sheetId="4079">
        <row r="52">
          <cell r="B52" t="str">
            <v>Main Panel</v>
          </cell>
        </row>
      </sheetData>
      <sheetData sheetId="4080">
        <row r="52">
          <cell r="B52" t="str">
            <v>Main Panel</v>
          </cell>
        </row>
      </sheetData>
      <sheetData sheetId="4081">
        <row r="52">
          <cell r="B52" t="str">
            <v>Main Panel</v>
          </cell>
        </row>
      </sheetData>
      <sheetData sheetId="4082">
        <row r="52">
          <cell r="B52" t="str">
            <v>Main Panel</v>
          </cell>
        </row>
      </sheetData>
      <sheetData sheetId="4083">
        <row r="52">
          <cell r="B52" t="str">
            <v>Main Panel</v>
          </cell>
        </row>
      </sheetData>
      <sheetData sheetId="4084">
        <row r="52">
          <cell r="B52" t="str">
            <v>Main Panel</v>
          </cell>
        </row>
      </sheetData>
      <sheetData sheetId="4085">
        <row r="52">
          <cell r="B52" t="str">
            <v>Main Panel</v>
          </cell>
        </row>
      </sheetData>
      <sheetData sheetId="4086">
        <row r="52">
          <cell r="B52" t="str">
            <v>Main Panel</v>
          </cell>
        </row>
      </sheetData>
      <sheetData sheetId="4087">
        <row r="52">
          <cell r="B52" t="str">
            <v>Main Panel</v>
          </cell>
        </row>
      </sheetData>
      <sheetData sheetId="4088">
        <row r="52">
          <cell r="B52" t="str">
            <v>Main Panel</v>
          </cell>
        </row>
      </sheetData>
      <sheetData sheetId="4089">
        <row r="52">
          <cell r="B52" t="str">
            <v>Main Panel</v>
          </cell>
        </row>
      </sheetData>
      <sheetData sheetId="4090">
        <row r="52">
          <cell r="B52" t="str">
            <v>Main Panel</v>
          </cell>
        </row>
      </sheetData>
      <sheetData sheetId="4091">
        <row r="52">
          <cell r="B52" t="str">
            <v>Main Panel</v>
          </cell>
        </row>
      </sheetData>
      <sheetData sheetId="4092">
        <row r="52">
          <cell r="B52" t="str">
            <v>Main Panel</v>
          </cell>
        </row>
      </sheetData>
      <sheetData sheetId="4093">
        <row r="52">
          <cell r="B52" t="str">
            <v>Main Panel</v>
          </cell>
        </row>
      </sheetData>
      <sheetData sheetId="4094">
        <row r="52">
          <cell r="B52" t="str">
            <v>Main Panel</v>
          </cell>
        </row>
      </sheetData>
      <sheetData sheetId="4095">
        <row r="52">
          <cell r="B52" t="str">
            <v>Main Panel</v>
          </cell>
        </row>
      </sheetData>
      <sheetData sheetId="4096">
        <row r="52">
          <cell r="B52" t="str">
            <v>Main Panel</v>
          </cell>
        </row>
      </sheetData>
      <sheetData sheetId="4097">
        <row r="52">
          <cell r="B52" t="str">
            <v>Main Panel</v>
          </cell>
        </row>
      </sheetData>
      <sheetData sheetId="4098" refreshError="1"/>
      <sheetData sheetId="4099">
        <row r="52">
          <cell r="B52" t="str">
            <v>Main Panel</v>
          </cell>
        </row>
      </sheetData>
      <sheetData sheetId="4100">
        <row r="52">
          <cell r="B52" t="str">
            <v>Main Panel</v>
          </cell>
        </row>
      </sheetData>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ow r="52">
          <cell r="B52" t="str">
            <v>Main Panel</v>
          </cell>
        </row>
      </sheetData>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ow r="52">
          <cell r="B52" t="str">
            <v>Main Panel</v>
          </cell>
        </row>
      </sheetData>
      <sheetData sheetId="4152">
        <row r="52">
          <cell r="B52" t="str">
            <v>Main Panel</v>
          </cell>
        </row>
      </sheetData>
      <sheetData sheetId="4153">
        <row r="52">
          <cell r="B52" t="str">
            <v>Main Panel</v>
          </cell>
        </row>
      </sheetData>
      <sheetData sheetId="4154">
        <row r="52">
          <cell r="B52" t="str">
            <v>Main Panel</v>
          </cell>
        </row>
      </sheetData>
      <sheetData sheetId="4155">
        <row r="52">
          <cell r="B52" t="str">
            <v>Main Panel</v>
          </cell>
        </row>
      </sheetData>
      <sheetData sheetId="4156">
        <row r="52">
          <cell r="B52" t="str">
            <v>Main Panel</v>
          </cell>
        </row>
      </sheetData>
      <sheetData sheetId="4157">
        <row r="52">
          <cell r="B52" t="str">
            <v>Main Panel</v>
          </cell>
        </row>
      </sheetData>
      <sheetData sheetId="4158">
        <row r="52">
          <cell r="B52" t="str">
            <v>Main Panel</v>
          </cell>
        </row>
      </sheetData>
      <sheetData sheetId="4159">
        <row r="52">
          <cell r="B52" t="str">
            <v>Main Panel</v>
          </cell>
        </row>
      </sheetData>
      <sheetData sheetId="4160">
        <row r="52">
          <cell r="B52" t="str">
            <v>Main Panel</v>
          </cell>
        </row>
      </sheetData>
      <sheetData sheetId="4161">
        <row r="52">
          <cell r="B52" t="str">
            <v>Main Panel</v>
          </cell>
        </row>
      </sheetData>
      <sheetData sheetId="4162">
        <row r="52">
          <cell r="B52" t="str">
            <v>Main Panel</v>
          </cell>
        </row>
      </sheetData>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ow r="52">
          <cell r="B52" t="str">
            <v>Main Panel</v>
          </cell>
        </row>
      </sheetData>
      <sheetData sheetId="4179">
        <row r="52">
          <cell r="B52" t="str">
            <v>Main Panel</v>
          </cell>
        </row>
      </sheetData>
      <sheetData sheetId="4180">
        <row r="52">
          <cell r="B52" t="str">
            <v>Main Panel</v>
          </cell>
        </row>
      </sheetData>
      <sheetData sheetId="4181">
        <row r="52">
          <cell r="B52" t="str">
            <v>Main Panel</v>
          </cell>
        </row>
      </sheetData>
      <sheetData sheetId="4182">
        <row r="52">
          <cell r="B52" t="str">
            <v>Main Panel</v>
          </cell>
        </row>
      </sheetData>
      <sheetData sheetId="4183">
        <row r="52">
          <cell r="B52" t="str">
            <v>Main Panel</v>
          </cell>
        </row>
      </sheetData>
      <sheetData sheetId="4184">
        <row r="52">
          <cell r="B52" t="str">
            <v>Main Panel</v>
          </cell>
        </row>
      </sheetData>
      <sheetData sheetId="4185">
        <row r="52">
          <cell r="B52" t="str">
            <v>Main Panel</v>
          </cell>
        </row>
      </sheetData>
      <sheetData sheetId="4186">
        <row r="52">
          <cell r="B52" t="str">
            <v>Main Panel</v>
          </cell>
        </row>
      </sheetData>
      <sheetData sheetId="4187">
        <row r="52">
          <cell r="B52" t="str">
            <v>Main Panel</v>
          </cell>
        </row>
      </sheetData>
      <sheetData sheetId="4188">
        <row r="52">
          <cell r="B52" t="str">
            <v>Main Panel</v>
          </cell>
        </row>
      </sheetData>
      <sheetData sheetId="4189">
        <row r="52">
          <cell r="B52" t="str">
            <v>Main Panel</v>
          </cell>
        </row>
      </sheetData>
      <sheetData sheetId="4190">
        <row r="52">
          <cell r="B52" t="str">
            <v>Main Panel</v>
          </cell>
        </row>
      </sheetData>
      <sheetData sheetId="4191">
        <row r="52">
          <cell r="B52" t="str">
            <v>Main Panel</v>
          </cell>
        </row>
      </sheetData>
      <sheetData sheetId="4192">
        <row r="52">
          <cell r="B52" t="str">
            <v>Main Panel</v>
          </cell>
        </row>
      </sheetData>
      <sheetData sheetId="4193">
        <row r="52">
          <cell r="B52" t="str">
            <v>Main Panel</v>
          </cell>
        </row>
      </sheetData>
      <sheetData sheetId="4194">
        <row r="52">
          <cell r="B52" t="str">
            <v>Main Panel</v>
          </cell>
        </row>
      </sheetData>
      <sheetData sheetId="4195">
        <row r="52">
          <cell r="B52" t="str">
            <v>Main Panel</v>
          </cell>
        </row>
      </sheetData>
      <sheetData sheetId="4196">
        <row r="52">
          <cell r="B52" t="str">
            <v>Main Panel</v>
          </cell>
        </row>
      </sheetData>
      <sheetData sheetId="4197">
        <row r="52">
          <cell r="B52" t="str">
            <v>Main Panel</v>
          </cell>
        </row>
      </sheetData>
      <sheetData sheetId="4198">
        <row r="52">
          <cell r="B52" t="str">
            <v>Main Panel</v>
          </cell>
        </row>
      </sheetData>
      <sheetData sheetId="4199">
        <row r="52">
          <cell r="B52" t="str">
            <v>Main Panel</v>
          </cell>
        </row>
      </sheetData>
      <sheetData sheetId="4200">
        <row r="52">
          <cell r="B52" t="str">
            <v>Main Panel</v>
          </cell>
        </row>
      </sheetData>
      <sheetData sheetId="4201">
        <row r="52">
          <cell r="B52" t="str">
            <v>Main Panel</v>
          </cell>
        </row>
      </sheetData>
      <sheetData sheetId="4202">
        <row r="52">
          <cell r="B52" t="str">
            <v>Main Panel</v>
          </cell>
        </row>
      </sheetData>
      <sheetData sheetId="4203">
        <row r="52">
          <cell r="B52" t="str">
            <v>Main Panel</v>
          </cell>
        </row>
      </sheetData>
      <sheetData sheetId="4204">
        <row r="52">
          <cell r="B52" t="str">
            <v>Main Panel</v>
          </cell>
        </row>
      </sheetData>
      <sheetData sheetId="4205">
        <row r="52">
          <cell r="B52" t="str">
            <v>Main Panel</v>
          </cell>
        </row>
      </sheetData>
      <sheetData sheetId="4206">
        <row r="52">
          <cell r="B52" t="str">
            <v>Main Panel</v>
          </cell>
        </row>
      </sheetData>
      <sheetData sheetId="4207">
        <row r="52">
          <cell r="B52" t="str">
            <v>Main Panel</v>
          </cell>
        </row>
      </sheetData>
      <sheetData sheetId="4208">
        <row r="52">
          <cell r="B52" t="str">
            <v>Main Panel</v>
          </cell>
        </row>
      </sheetData>
      <sheetData sheetId="4209">
        <row r="52">
          <cell r="B52" t="str">
            <v>Main Panel</v>
          </cell>
        </row>
      </sheetData>
      <sheetData sheetId="4210">
        <row r="52">
          <cell r="B52" t="str">
            <v>Main Panel</v>
          </cell>
        </row>
      </sheetData>
      <sheetData sheetId="4211">
        <row r="52">
          <cell r="B52" t="str">
            <v>Main Panel</v>
          </cell>
        </row>
      </sheetData>
      <sheetData sheetId="4212">
        <row r="52">
          <cell r="B52" t="str">
            <v>Main Panel</v>
          </cell>
        </row>
      </sheetData>
      <sheetData sheetId="4213">
        <row r="52">
          <cell r="B52" t="str">
            <v>Main Panel</v>
          </cell>
        </row>
      </sheetData>
      <sheetData sheetId="4214">
        <row r="52">
          <cell r="B52" t="str">
            <v>Main Panel</v>
          </cell>
        </row>
      </sheetData>
      <sheetData sheetId="4215">
        <row r="52">
          <cell r="B52" t="str">
            <v>Main Panel</v>
          </cell>
        </row>
      </sheetData>
      <sheetData sheetId="4216">
        <row r="52">
          <cell r="B52" t="str">
            <v>Main Panel</v>
          </cell>
        </row>
      </sheetData>
      <sheetData sheetId="4217">
        <row r="52">
          <cell r="B52" t="str">
            <v>Main Panel</v>
          </cell>
        </row>
      </sheetData>
      <sheetData sheetId="4218">
        <row r="52">
          <cell r="B52" t="str">
            <v>Main Panel</v>
          </cell>
        </row>
      </sheetData>
      <sheetData sheetId="4219">
        <row r="52">
          <cell r="B52" t="str">
            <v>Main Panel</v>
          </cell>
        </row>
      </sheetData>
      <sheetData sheetId="4220">
        <row r="52">
          <cell r="B52" t="str">
            <v>Main Panel</v>
          </cell>
        </row>
      </sheetData>
      <sheetData sheetId="4221">
        <row r="52">
          <cell r="B52" t="str">
            <v>Main Panel</v>
          </cell>
        </row>
      </sheetData>
      <sheetData sheetId="4222">
        <row r="52">
          <cell r="B52" t="str">
            <v>Main Panel</v>
          </cell>
        </row>
      </sheetData>
      <sheetData sheetId="4223">
        <row r="52">
          <cell r="B52" t="str">
            <v>Main Panel</v>
          </cell>
        </row>
      </sheetData>
      <sheetData sheetId="4224">
        <row r="52">
          <cell r="B52" t="str">
            <v>Main Panel</v>
          </cell>
        </row>
      </sheetData>
      <sheetData sheetId="4225">
        <row r="52">
          <cell r="B52" t="str">
            <v>Main Panel</v>
          </cell>
        </row>
      </sheetData>
      <sheetData sheetId="4226">
        <row r="52">
          <cell r="B52" t="str">
            <v>Main Panel</v>
          </cell>
        </row>
      </sheetData>
      <sheetData sheetId="4227">
        <row r="52">
          <cell r="B52" t="str">
            <v>Main Panel</v>
          </cell>
        </row>
      </sheetData>
      <sheetData sheetId="4228">
        <row r="52">
          <cell r="B52" t="str">
            <v>Main Panel</v>
          </cell>
        </row>
      </sheetData>
      <sheetData sheetId="4229">
        <row r="52">
          <cell r="B52" t="str">
            <v>Main Panel</v>
          </cell>
        </row>
      </sheetData>
      <sheetData sheetId="4230">
        <row r="52">
          <cell r="B52" t="str">
            <v>Main Panel</v>
          </cell>
        </row>
      </sheetData>
      <sheetData sheetId="4231">
        <row r="52">
          <cell r="B52" t="str">
            <v>Main Panel</v>
          </cell>
        </row>
      </sheetData>
      <sheetData sheetId="4232">
        <row r="52">
          <cell r="B52" t="str">
            <v>Main Panel</v>
          </cell>
        </row>
      </sheetData>
      <sheetData sheetId="4233">
        <row r="52">
          <cell r="B52" t="str">
            <v>Main Panel</v>
          </cell>
        </row>
      </sheetData>
      <sheetData sheetId="4234">
        <row r="52">
          <cell r="B52" t="str">
            <v>Main Panel</v>
          </cell>
        </row>
      </sheetData>
      <sheetData sheetId="4235">
        <row r="52">
          <cell r="B52" t="str">
            <v>Main Panel</v>
          </cell>
        </row>
      </sheetData>
      <sheetData sheetId="4236">
        <row r="52">
          <cell r="B52" t="str">
            <v>Main Panel</v>
          </cell>
        </row>
      </sheetData>
      <sheetData sheetId="4237">
        <row r="52">
          <cell r="B52" t="str">
            <v>Main Panel</v>
          </cell>
        </row>
      </sheetData>
      <sheetData sheetId="4238">
        <row r="52">
          <cell r="B52" t="str">
            <v>Main Panel</v>
          </cell>
        </row>
      </sheetData>
      <sheetData sheetId="4239">
        <row r="52">
          <cell r="B52" t="str">
            <v>Main Panel</v>
          </cell>
        </row>
      </sheetData>
      <sheetData sheetId="4240">
        <row r="52">
          <cell r="B52" t="str">
            <v>Main Panel</v>
          </cell>
        </row>
      </sheetData>
      <sheetData sheetId="4241">
        <row r="52">
          <cell r="B52" t="str">
            <v>Main Panel</v>
          </cell>
        </row>
      </sheetData>
      <sheetData sheetId="4242">
        <row r="52">
          <cell r="B52" t="str">
            <v>Main Panel</v>
          </cell>
        </row>
      </sheetData>
      <sheetData sheetId="4243">
        <row r="52">
          <cell r="B52" t="str">
            <v>Main Panel</v>
          </cell>
        </row>
      </sheetData>
      <sheetData sheetId="4244">
        <row r="52">
          <cell r="B52" t="str">
            <v>Main Panel</v>
          </cell>
        </row>
      </sheetData>
      <sheetData sheetId="4245">
        <row r="52">
          <cell r="B52" t="str">
            <v>Main Panel</v>
          </cell>
        </row>
      </sheetData>
      <sheetData sheetId="4246">
        <row r="52">
          <cell r="B52" t="str">
            <v>Main Panel</v>
          </cell>
        </row>
      </sheetData>
      <sheetData sheetId="4247">
        <row r="52">
          <cell r="B52" t="str">
            <v>Main Panel</v>
          </cell>
        </row>
      </sheetData>
      <sheetData sheetId="4248">
        <row r="52">
          <cell r="B52" t="str">
            <v>Main Panel</v>
          </cell>
        </row>
      </sheetData>
      <sheetData sheetId="4249" refreshError="1"/>
      <sheetData sheetId="4250">
        <row r="52">
          <cell r="B52" t="str">
            <v>Main Panel</v>
          </cell>
        </row>
      </sheetData>
      <sheetData sheetId="4251" refreshError="1"/>
      <sheetData sheetId="4252">
        <row r="52">
          <cell r="B52" t="str">
            <v>Main Panel</v>
          </cell>
        </row>
      </sheetData>
      <sheetData sheetId="4253">
        <row r="52">
          <cell r="B52" t="str">
            <v>Main Panel</v>
          </cell>
        </row>
      </sheetData>
      <sheetData sheetId="4254">
        <row r="52">
          <cell r="B52" t="str">
            <v>Main Panel</v>
          </cell>
        </row>
      </sheetData>
      <sheetData sheetId="4255">
        <row r="52">
          <cell r="B52" t="str">
            <v>Main Panel</v>
          </cell>
        </row>
      </sheetData>
      <sheetData sheetId="4256">
        <row r="52">
          <cell r="B52" t="str">
            <v>Main Panel</v>
          </cell>
        </row>
      </sheetData>
      <sheetData sheetId="4257">
        <row r="52">
          <cell r="B52" t="str">
            <v>Main Panel</v>
          </cell>
        </row>
      </sheetData>
      <sheetData sheetId="4258">
        <row r="52">
          <cell r="B52" t="str">
            <v>Main Panel</v>
          </cell>
        </row>
      </sheetData>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 val="Labour"/>
      <sheetName val="Material"/>
      <sheetName val="Plant &amp;  Machinery"/>
      <sheetName val="CDdata_(2)"/>
      <sheetName val="Plant_&amp;__Machinery"/>
      <sheetName val="r"/>
      <sheetName val="MRATES"/>
      <sheetName val="Sheet1"/>
      <sheetName val="sand"/>
      <sheetName val="stone"/>
      <sheetName val="Devider(CC)"/>
      <sheetName val="Devider (CRS)"/>
      <sheetName val="data-Parks-new"/>
      <sheetName val="C-Mat-Gen-"/>
      <sheetName val="Data "/>
      <sheetName val="Devider (CRS) final"/>
      <sheetName val="GA"/>
      <sheetName val="Single Devider"/>
      <sheetName val="v"/>
      <sheetName val="Rates SSR 2008-09"/>
      <sheetName val="final abstract"/>
      <sheetName val="rdamdata"/>
      <sheetName val="DATA_PRG"/>
      <sheetName val="Quarry"/>
      <sheetName val="RMR"/>
      <sheetName val="Line"/>
      <sheetName val="BTR"/>
      <sheetName val="CRUST"/>
      <sheetName val="QDTS"/>
      <sheetName val="Rates"/>
      <sheetName val="Road data"/>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heet2"/>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Lead"/>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CDdata_(2)1"/>
      <sheetName val="Plant_&amp;__Machinery1"/>
      <sheetName val="CDdata_(2)2"/>
      <sheetName val="Plant_&amp;__Machinery2"/>
      <sheetName val="coverpage"/>
      <sheetName val="Rd.Est"/>
      <sheetName val="Works"/>
      <sheetName val="General"/>
      <sheetName val="HDPE"/>
      <sheetName val="DI"/>
      <sheetName val="pvc"/>
      <sheetName val="Convey"/>
      <sheetName val="C.D.Abs.Est."/>
      <sheetName val="SC Cost FEB 03"/>
      <sheetName val="m"/>
      <sheetName val="pvc_basic"/>
      <sheetName val="hdpe_basic"/>
      <sheetName val="Rates2"/>
      <sheetName val="Abs"/>
      <sheetName val="bom"/>
      <sheetName val="wh_data"/>
      <sheetName val="CPHEEO"/>
      <sheetName val="wh_data_R"/>
      <sheetName val="input"/>
      <sheetName val="MRoad data"/>
      <sheetName val="lead-st"/>
      <sheetName val="not req 3"/>
      <sheetName val="BALAN1"/>
      <sheetName val="mlead"/>
      <sheetName val="abs road"/>
      <sheetName val="Abs_CD_2"/>
      <sheetName val="road est"/>
      <sheetName val="ECV"/>
      <sheetName val="Staff Acco."/>
      <sheetName val="DATA-BASE"/>
      <sheetName val="DATA-ABSTRACT"/>
      <sheetName val="detls"/>
      <sheetName val="BLK2"/>
      <sheetName val="BLK3"/>
      <sheetName val="E &amp; R"/>
      <sheetName val="radar"/>
      <sheetName val="UG"/>
      <sheetName val="Rates_SSR_2008-09"/>
      <sheetName val="final_abstract"/>
      <sheetName val="Devider_(CRS)"/>
      <sheetName val="Data_"/>
      <sheetName val="Devider_(CRS)_final"/>
      <sheetName val="Single_Devider"/>
      <sheetName val="Road_data"/>
      <sheetName val="TS memo"/>
      <sheetName val="X-2"/>
      <sheetName val="C-data"/>
      <sheetName val="Sheet1 (2)"/>
      <sheetName val="cert"/>
      <sheetName val="Iocount"/>
      <sheetName val="Wordsdata"/>
      <sheetName val="int-Dia"/>
      <sheetName val="habs-list"/>
      <sheetName val="nodes"/>
      <sheetName val="maya"/>
      <sheetName val="Lead statement ss5"/>
      <sheetName val="Gen_Abs"/>
      <sheetName val="Estt"/>
      <sheetName val="road detail est."/>
      <sheetName val="GT DUMP"/>
      <sheetName val="sancdump"/>
      <sheetName val="GZL"/>
      <sheetName val="civ data"/>
      <sheetName val="clvrt_data"/>
      <sheetName val="Ins &amp; Bonds"/>
      <sheetName val="A-3.1"/>
      <sheetName val="Client req"/>
      <sheetName val="Levels"/>
      <sheetName val="PS1"/>
      <sheetName val="ewst"/>
      <sheetName val="factors"/>
      <sheetName val="Lead  RATES"/>
      <sheetName val="hdpe weights"/>
      <sheetName val="PVC weights"/>
      <sheetName val="index"/>
      <sheetName val="Usage"/>
      <sheetName val="int-Dia-hdpe"/>
      <sheetName val="int-Dia-pvc"/>
      <sheetName val="segments-details"/>
      <sheetName val="Specification report"/>
      <sheetName val="FORM7"/>
      <sheetName val="Data base"/>
      <sheetName val="l"/>
      <sheetName val="CDd!ta"/>
      <sheetName val="Suppl-data"/>
      <sheetName val="SUMP1420KL@HW"/>
      <sheetName val="3V 6mt "/>
      <sheetName val="3V 1000PC "/>
      <sheetName val="1V 3mt"/>
      <sheetName val="Road dam"/>
      <sheetName val="ESTIMATE"/>
      <sheetName val="t_prsr"/>
      <sheetName val="ssr-rates"/>
      <sheetName val="wh"/>
      <sheetName val="0000000000000"/>
      <sheetName val="Sub -  Analysis"/>
      <sheetName val="Labour rates"/>
      <sheetName val="Rate analysis"/>
      <sheetName val="RMR 2008-09"/>
      <sheetName val="VIP03"/>
      <sheetName val="VIP_02"/>
      <sheetName val="Summary"/>
      <sheetName val="Prjt"/>
      <sheetName val="Common "/>
      <sheetName val="app2"/>
      <sheetName val="road safety datas"/>
      <sheetName val="Below_Earth"/>
      <sheetName val="Fee Rate Summary"/>
      <sheetName val="Existing"/>
      <sheetName val="Material "/>
      <sheetName val="Labour &amp; Plant"/>
      <sheetName val="Nspt-smp-final-ORIGINAL"/>
      <sheetName val="Design"/>
      <sheetName val="Spec"/>
      <sheetName val="Detail Est"/>
      <sheetName val="10KL OHSR"/>
      <sheetName val=" data sheet "/>
      <sheetName val="Rate"/>
      <sheetName val="sheet6"/>
      <sheetName val="work_sheet"/>
      <sheetName val="Y palem"/>
      <sheetName val="MDR"/>
      <sheetName val="Comparative Yerrupalem"/>
      <sheetName val="Comparative Madhira"/>
      <sheetName val="Comparative Bonakal"/>
      <sheetName val="SSR"/>
      <sheetName val="Earth work"/>
      <sheetName val="AC"/>
      <sheetName val="Bonakkal"/>
      <sheetName val="Wyra"/>
      <sheetName val="Comparative Abst"/>
      <sheetName val="Yer"/>
      <sheetName val="WATER-HAMMER"/>
      <sheetName val="m1"/>
      <sheetName val="pop"/>
      <sheetName val="R_Det"/>
      <sheetName val="1"/>
      <sheetName val="2"/>
      <sheetName val="3"/>
      <sheetName val="4"/>
      <sheetName val="87.Gazinagar"/>
      <sheetName val="HDPE-pipe-rates"/>
      <sheetName val="pvc-pipe-rate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3">
          <cell r="A3" t="str">
            <v>Sno</v>
          </cell>
          <cell r="B3" t="str">
            <v>Lead</v>
          </cell>
          <cell r="C3">
            <v>0</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 val="lead-st"/>
      <sheetName val="rdamdata"/>
      <sheetName val="leads"/>
      <sheetName val="v"/>
      <sheetName val="r"/>
      <sheetName val="HDPE"/>
      <sheetName val="pvc_basic"/>
      <sheetName val="Lead"/>
      <sheetName val="wh"/>
      <sheetName val="DATA_PRG"/>
      <sheetName val="Labour"/>
      <sheetName val="Material"/>
      <sheetName val="Plant &amp;  Machinery"/>
      <sheetName val="GEN-ABS Del"/>
      <sheetName val="Rates SSR 2008-09"/>
      <sheetName val="m"/>
      <sheetName val="mlead"/>
      <sheetName val="MRATES"/>
      <sheetName val="Cover"/>
      <sheetName val="DI"/>
      <sheetName val="pvc"/>
      <sheetName val="Rates"/>
      <sheetName val="abs road"/>
      <sheetName val="DATA"/>
      <sheetName val="mas_hab"/>
      <sheetName val=" Doors-Window (2)"/>
      <sheetName val="BALAN1"/>
      <sheetName val="Voucher"/>
      <sheetName val="FORM7"/>
      <sheetName val="RMR"/>
      <sheetName val="Staff Acco."/>
      <sheetName val="BHANDUP"/>
      <sheetName val="Plant_&amp;__Machinery"/>
      <sheetName val="GEN-ABS_Del"/>
      <sheetName val="Rates_SSR_2008-09"/>
      <sheetName val="BTR"/>
      <sheetName val="Road data"/>
      <sheetName val="coverpage"/>
      <sheetName val="R_Det"/>
      <sheetName val="TS memo"/>
      <sheetName val="GF SB Ok "/>
      <sheetName val="DATA-BASE"/>
      <sheetName val="DATA-ABSTRACT"/>
      <sheetName val="ewst"/>
      <sheetName val="GT DUMP"/>
      <sheetName val="sancdump"/>
      <sheetName val="Lead statement ss5"/>
      <sheetName val="ONLINE DUMP"/>
      <sheetName val="pv cement"/>
      <sheetName val="POL"/>
      <sheetName val="PH RATE"/>
      <sheetName val="hdpe_basic"/>
      <sheetName val="civ data"/>
      <sheetName val="PRECAST lightconc-II"/>
      <sheetName val="sectorwise"/>
      <sheetName val="road safety datas"/>
      <sheetName val="0000000000000"/>
      <sheetName val="DATA-2005-06"/>
      <sheetName val="m1"/>
      <sheetName val="not req 3"/>
      <sheetName val="C-data"/>
      <sheetName val="hdpe weights"/>
      <sheetName val="PVC weights"/>
      <sheetName val="index"/>
      <sheetName val="Sub -  Analysis"/>
      <sheetName val="Labour rates"/>
      <sheetName val="CABLE DATA"/>
      <sheetName val="Lead statement"/>
      <sheetName val="11.Habitations"/>
      <sheetName val="Sheet11"/>
      <sheetName val="Addl.40"/>
      <sheetName val="Summary"/>
      <sheetName val="Material "/>
      <sheetName val="Labour &amp; Plant"/>
      <sheetName val="Prjt"/>
      <sheetName val="Detailed"/>
      <sheetName val="face"/>
      <sheetName val="INPUT"/>
      <sheetName val="Works"/>
      <sheetName val="Road Detail Est."/>
      <sheetName val="maya"/>
      <sheetName val="Buildings"/>
      <sheetName val="General"/>
      <sheetName val="Irrigation"/>
      <sheetName val="Hire"/>
      <sheetName val="Conveyance"/>
      <sheetName val="MRates R "/>
    </sheetNames>
    <sheetDataSet>
      <sheetData sheetId="0">
        <row r="1">
          <cell r="JB1">
            <v>0</v>
          </cell>
        </row>
      </sheetData>
      <sheetData sheetId="1"/>
      <sheetData sheetId="2"/>
      <sheetData sheetId="3" refreshError="1"/>
      <sheetData sheetId="4"/>
      <sheetData sheetId="5"/>
      <sheetData sheetId="6"/>
      <sheetData sheetId="7" refreshError="1"/>
      <sheetData sheetId="8" refreshError="1">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DATA"/>
      <sheetName val="DESIGEN_RCC_CULVERT"/>
      <sheetName val="DESIGENS_HP_CULVERT"/>
      <sheetName val="leads"/>
      <sheetName val="PM&amp;GM"/>
      <sheetName val="AV-DI"/>
      <sheetName val="AV-PVC"/>
      <sheetName val="DI"/>
      <sheetName val="DI gate-DI"/>
      <sheetName val="DIgate_PVC "/>
      <sheetName val="PVC"/>
      <sheetName val="scour-DI-CI"/>
      <sheetName val="scour-pvc-hdpe-psc-bwsc"/>
      <sheetName val="Plant &amp;  Machinery"/>
      <sheetName val="Analy"/>
      <sheetName val="Lead"/>
      <sheetName val="HDPE"/>
      <sheetName val="hdpe_basic"/>
      <sheetName val="pvc_basic"/>
      <sheetName val="Main sheet"/>
    </sheetNames>
    <sheetDataSet>
      <sheetData sheetId="0" refreshError="1">
        <row r="2">
          <cell r="D2" t="str">
            <v>CONST.OF 2V RCC SLAB CULVERT AT 6/1 to 6/2 KM</v>
          </cell>
        </row>
        <row r="4">
          <cell r="F4" t="str">
            <v>Bijnepally</v>
          </cell>
        </row>
        <row r="25">
          <cell r="G25" t="str">
            <v>Bijnepally</v>
          </cell>
        </row>
        <row r="235">
          <cell r="H235">
            <v>125.42399999999999</v>
          </cell>
        </row>
        <row r="245">
          <cell r="H245">
            <v>30.16</v>
          </cell>
        </row>
        <row r="250">
          <cell r="H250" t="str">
            <v>Nagerkurnool</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rdamdata"/>
      <sheetName val="leads"/>
      <sheetName val="C &amp; G RHS"/>
      <sheetName val="ssr-rates"/>
      <sheetName val="stone"/>
      <sheetName val="EDWise"/>
      <sheetName val="Estimate "/>
      <sheetName val="BHANDUP"/>
      <sheetName val="HDPE"/>
      <sheetName val="DI"/>
      <sheetName val="pvc"/>
      <sheetName val="Sheet3"/>
      <sheetName val="data existing_do not delete"/>
      <sheetName val="PRECAST lightconc-II"/>
      <sheetName val="Lead"/>
      <sheetName val="ROADS"/>
      <sheetName val="Quarry"/>
      <sheetName val="Line"/>
      <sheetName val="CRUST"/>
      <sheetName val="QDTS"/>
      <sheetName val="RMR"/>
      <sheetName val="Rates"/>
      <sheetName val="BTR"/>
      <sheetName val="Road data"/>
      <sheetName val="Labour"/>
      <sheetName val="Material"/>
      <sheetName val="Plant &amp;  Machinery"/>
      <sheetName val="civ data"/>
      <sheetName val="coverpage"/>
      <sheetName val="mlead"/>
      <sheetName val="Levels"/>
      <sheetName val="census91"/>
      <sheetName val="DATA"/>
      <sheetName val="0000000000000"/>
      <sheetName val="maya"/>
      <sheetName val="C-data"/>
      <sheetName val="Lead statement"/>
      <sheetName val="MRATES"/>
      <sheetName val="Nspt-smp-final-ORIGINAL"/>
      <sheetName val="DES"/>
      <sheetName val="COVER"/>
      <sheetName val="HP PIPE  DATA"/>
      <sheetName val="SLAB  DATA"/>
      <sheetName val="DATA_PRG"/>
      <sheetName val="Road Detail Est."/>
      <sheetName val="id"/>
      <sheetName val="wh"/>
      <sheetName val="pvc_basic"/>
      <sheetName val="overviewbarmer"/>
      <sheetName val="Master_data"/>
      <sheetName val="BALAN1"/>
      <sheetName val="11.Habitations"/>
      <sheetName val="bom"/>
      <sheetName val="m"/>
      <sheetName val="Boq"/>
      <sheetName val="Estimate_"/>
      <sheetName val="PRECAST_lightconc-II"/>
      <sheetName val="data_existing_do_not_delete"/>
      <sheetName val="Road_data"/>
      <sheetName val="PROCTOR"/>
      <sheetName val="GF SB Ok "/>
      <sheetName val="HDPE-pipe-rates"/>
      <sheetName val="pvc-pipe-rates"/>
      <sheetName val="splmidata"/>
      <sheetName val="ppraodata"/>
      <sheetName val="CONST"/>
      <sheetName val="MRoad data"/>
      <sheetName val="AV-HDPE"/>
      <sheetName val="Di_gate-HDPE"/>
      <sheetName val="DISCOUNT"/>
      <sheetName val="t_prsr"/>
      <sheetName val="Common "/>
      <sheetName val="final abstract"/>
      <sheetName val="Basicrates"/>
      <sheetName val="mas_hab"/>
      <sheetName val="BLK3"/>
      <sheetName val="BLK2"/>
      <sheetName val="radar"/>
      <sheetName val="E &amp; R"/>
      <sheetName val="hdpe_basic"/>
      <sheetName val="GenAbst"/>
      <sheetName val="abs road"/>
      <sheetName val="TS memo"/>
      <sheetName val="work_sheet"/>
      <sheetName val="Data o"/>
      <sheetName val="Sheet1 (2)"/>
      <sheetName val="Data.F8.BTR"/>
      <sheetName val="Proforma-I (2)"/>
      <sheetName val="Gen Abs"/>
      <sheetName val="Rate"/>
      <sheetName val="segments-details"/>
      <sheetName val="int-Dia-hdpe"/>
      <sheetName val="habs-list"/>
      <sheetName val="int-Dia-pvc"/>
      <sheetName val="LEAD S 10-11"/>
      <sheetName val="Flight-1"/>
      <sheetName val="QTY"/>
      <sheetName val="R_Det"/>
      <sheetName val="Sheet2"/>
      <sheetName val="Rate Analysis"/>
      <sheetName val="SPT vs PHI"/>
      <sheetName val="wh_data_R"/>
      <sheetName val="wh_data"/>
      <sheetName val="CPHEEO"/>
      <sheetName val="input"/>
      <sheetName val="hdpe weights"/>
      <sheetName val="PVC weights"/>
      <sheetName val="DATA-BASE"/>
      <sheetName val="DATA-ABSTRACT"/>
      <sheetName val="sand"/>
      <sheetName val="clvrt_data"/>
      <sheetName val="GA"/>
      <sheetName val="hdpe-rates"/>
      <sheetName val="pvc-rates"/>
      <sheetName val="detls"/>
      <sheetName val=" data sheet "/>
      <sheetName val="Civil Boq"/>
      <sheetName val="Summary"/>
      <sheetName val="Note"/>
      <sheetName val="Specification"/>
      <sheetName val="analy"/>
      <sheetName val="basdat"/>
      <sheetName val="WITH STACKING CHARGES"/>
      <sheetName val="Table10"/>
      <sheetName val="Table11"/>
      <sheetName val="Table12"/>
      <sheetName val="SSR 2014-15 Rates"/>
      <sheetName val="not req 3"/>
      <sheetName val="DATA-2005-06"/>
      <sheetName val="Abs_CD_2"/>
      <sheetName val="road est"/>
      <sheetName val="ECV"/>
      <sheetName val="ABS"/>
      <sheetName val="Format-A (B)"/>
      <sheetName val="Format-A"/>
      <sheetName val="Format-A (HQ)"/>
      <sheetName val="Sheet2 (2)"/>
      <sheetName val="Format-A (S)"/>
      <sheetName val="UG"/>
      <sheetName val="Design"/>
      <sheetName val="Prjt"/>
      <sheetName val="Master data"/>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Materials"/>
      <sheetName val="Conveyance"/>
      <sheetName val="Bitumen trunk"/>
      <sheetName val="Feeder"/>
      <sheetName val="R99 etc"/>
      <sheetName val="Trunk unpaved"/>
      <sheetName val="Data_Renuals"/>
      <sheetName val="Data_Base"/>
      <sheetName val="Labour rates"/>
      <sheetName val="Legal Risk Analysis"/>
      <sheetName val="Cover-MEstt."/>
      <sheetName val="bldg"/>
      <sheetName val="G F  (2)"/>
      <sheetName val="Main sheet"/>
      <sheetName val="G Hostel"/>
      <sheetName val="Main Bldg"/>
      <sheetName val="B Student Hostel"/>
      <sheetName val="B Resident Hostel"/>
      <sheetName val="Qtrs"/>
      <sheetName val="Kitchen&amp;Dining"/>
      <sheetName val="STP"/>
      <sheetName val="WTP"/>
      <sheetName val="Sump"/>
      <sheetName val="Sump (2)"/>
      <sheetName val="Compound wall"/>
      <sheetName val="Sheet1 (3)"/>
      <sheetName val="WATER-HAMMER"/>
      <sheetName val="Calc1"/>
      <sheetName val="organi synthesis lab"/>
      <sheetName val="Lead_statement"/>
      <sheetName val="GF_SB_Ok_"/>
      <sheetName val="Plant_&amp;__Machinery"/>
      <sheetName val="HP_PIPE__DATA"/>
      <sheetName val="SLAB__DATA"/>
      <sheetName val="MRoad_data"/>
      <sheetName val="C.D.Abs.Est."/>
      <sheetName val="ESTIMATE"/>
      <sheetName val="sectorwise"/>
      <sheetName val="joinery data"/>
      <sheetName val="suppl-data"/>
      <sheetName val=" Targets Homes site"/>
      <sheetName val="Sub -  Analysis"/>
      <sheetName val="C&amp;S monthwise"/>
      <sheetName val="C&amp;S"/>
      <sheetName val="CC"/>
      <sheetName val="General"/>
      <sheetName val="Works"/>
      <sheetName val="1"/>
      <sheetName val="2"/>
      <sheetName val="3"/>
      <sheetName val="4"/>
    </sheetNames>
    <sheetDataSet>
      <sheetData sheetId="0">
        <row r="1">
          <cell r="JB1">
            <v>0</v>
          </cell>
        </row>
      </sheetData>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 val="Lead"/>
      <sheetName val="leads"/>
      <sheetName val="rdamdata"/>
      <sheetName val="EDWise"/>
      <sheetName val="wh_data"/>
      <sheetName val="wh_data_R"/>
      <sheetName val="CPHEEO"/>
      <sheetName val="input"/>
      <sheetName val="Intro"/>
      <sheetName val="MRATES"/>
      <sheetName val="HDPE"/>
      <sheetName val="DI"/>
      <sheetName val="pvc"/>
      <sheetName val="Road Detail Est."/>
      <sheetName val="Road data"/>
      <sheetName val="Red oxide Primer Paint grade-II"/>
      <sheetName val="lead-st"/>
      <sheetName val="data"/>
      <sheetName val="Sheet1 (2)"/>
      <sheetName val="Material"/>
      <sheetName val="Plant &amp;  Machinery"/>
      <sheetName val="Cover"/>
      <sheetName val="int-Dia-hdpe"/>
      <sheetName val="Levels"/>
      <sheetName val="RMR"/>
      <sheetName val="Data.F8.BTR"/>
      <sheetName val="mlead"/>
      <sheetName val="DATA-BASE"/>
      <sheetName val="DATA-ABSTRACT"/>
      <sheetName val="Sheet1"/>
      <sheetName val="Labour"/>
      <sheetName val="Design"/>
      <sheetName val="Sheet2"/>
      <sheetName val="not req 3"/>
      <sheetName val="C.D.Abs.Est."/>
      <sheetName val="RATES"/>
      <sheetName val="DATA ENTRY SHEET"/>
      <sheetName val="TOTAL DATA"/>
      <sheetName val="HP PIPE  DATA"/>
      <sheetName val="SLAB  DATA"/>
      <sheetName val="sup dat"/>
      <sheetName val="DATA_PRG"/>
      <sheetName val="Work_sheet"/>
      <sheetName val="BALAN1"/>
      <sheetName val="BTR"/>
      <sheetName val="Line"/>
      <sheetName val="dlvoid"/>
      <sheetName val="index"/>
      <sheetName val="quarry"/>
      <sheetName val="m"/>
      <sheetName val="pvc_basic"/>
      <sheetName val="MRoad data"/>
      <sheetName val="final abstract"/>
      <sheetName val="Sheet1_(2)"/>
      <sheetName val="Plant_&amp;__Machinery"/>
      <sheetName val="Red_oxide_Primer_Paint_grade-II"/>
      <sheetName val="Road_Detail_Est_"/>
      <sheetName val="Road_data"/>
      <sheetName val="Data_F8_BTR"/>
      <sheetName val="abs road"/>
      <sheetName val="coverpage"/>
      <sheetName val="TS memo"/>
      <sheetName val="FINAL DATA"/>
      <sheetName val="GZL"/>
      <sheetName val="Bitumen trunk"/>
      <sheetName val="Feeder"/>
      <sheetName val="R99 etc"/>
      <sheetName val="Trunk unpaved"/>
      <sheetName val="Project cost"/>
      <sheetName val="bom"/>
      <sheetName val="mas_hab"/>
      <sheetName val="C-data"/>
      <sheetName val="hdpe_basic"/>
      <sheetName val="civ data"/>
      <sheetName val="Abs_CD_2"/>
      <sheetName val="road est"/>
      <sheetName val="ECV"/>
      <sheetName val="road safety datas"/>
      <sheetName val="Data_Bit_I"/>
      <sheetName val="Bill_amt_qty_cc_1"/>
      <sheetName val="Side wall dsn Formula"/>
      <sheetName val="SPT vs PHI"/>
      <sheetName val="Lead statement"/>
      <sheetName val="SSR 2014-15 Rates"/>
      <sheetName val="detls"/>
      <sheetName val="RA"/>
      <sheetName val="R_Det"/>
      <sheetName val="Mp-team 1"/>
      <sheetName val="HDPE-pipe-rates"/>
      <sheetName val="pvc-pipe-rates"/>
      <sheetName val="DATA-2005-06"/>
      <sheetName val="maya"/>
      <sheetName val="Rubber Gaskets"/>
      <sheetName val="Dom"/>
      <sheetName val="Format-A (B)"/>
      <sheetName val="Format-A"/>
      <sheetName val="Format-A (HQ)"/>
      <sheetName val="Sheet2 (2)"/>
      <sheetName val="Format-A (S)"/>
      <sheetName val="Prjt"/>
      <sheetName val="BLK3"/>
      <sheetName val="BLK2"/>
      <sheetName val="E &amp; R"/>
      <sheetName val="radar"/>
      <sheetName val="UG"/>
      <sheetName val="Material "/>
      <sheetName val="Labour &amp; Plant"/>
      <sheetName val="estimate"/>
      <sheetName val="Summary"/>
      <sheetName val="SubAnlysis"/>
      <sheetName val="Road data-TDR"/>
      <sheetName val="Exp"/>
      <sheetName val="Road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C6">
            <v>0</v>
          </cell>
          <cell r="D6">
            <v>2500</v>
          </cell>
          <cell r="E6" t="str">
            <v>/MT</v>
          </cell>
        </row>
        <row r="7">
          <cell r="A7">
            <v>6</v>
          </cell>
          <cell r="B7" t="str">
            <v>Steel</v>
          </cell>
          <cell r="C7">
            <v>0</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C14">
            <v>0</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D1">
            <v>0</v>
          </cell>
          <cell r="E1">
            <v>0</v>
          </cell>
          <cell r="F1" t="str">
            <v>DETAILS</v>
          </cell>
          <cell r="G1" t="str">
            <v>Unit</v>
          </cell>
          <cell r="H1" t="str">
            <v>PER</v>
          </cell>
          <cell r="I1" t="str">
            <v>RATE</v>
          </cell>
        </row>
        <row r="2">
          <cell r="B2">
            <v>1</v>
          </cell>
          <cell r="C2" t="str">
            <v>1ab</v>
          </cell>
          <cell r="D2">
            <v>0</v>
          </cell>
          <cell r="E2">
            <v>0</v>
          </cell>
          <cell r="F2" t="str">
            <v>1st Class Mason</v>
          </cell>
          <cell r="G2">
            <v>1</v>
          </cell>
          <cell r="H2" t="str">
            <v>each</v>
          </cell>
          <cell r="I2">
            <v>86</v>
          </cell>
        </row>
        <row r="3">
          <cell r="B3">
            <v>26</v>
          </cell>
          <cell r="C3">
            <v>17</v>
          </cell>
          <cell r="D3">
            <v>0</v>
          </cell>
          <cell r="E3">
            <v>0</v>
          </cell>
          <cell r="F3" t="str">
            <v>Spl.grade Mason</v>
          </cell>
          <cell r="G3">
            <v>1</v>
          </cell>
          <cell r="H3" t="str">
            <v>each</v>
          </cell>
          <cell r="I3">
            <v>0</v>
          </cell>
        </row>
        <row r="4">
          <cell r="B4">
            <v>28</v>
          </cell>
          <cell r="C4" t="str">
            <v>1a</v>
          </cell>
          <cell r="D4">
            <v>0</v>
          </cell>
          <cell r="E4">
            <v>0</v>
          </cell>
          <cell r="F4" t="str">
            <v>2nd Class Mason</v>
          </cell>
          <cell r="G4">
            <v>1</v>
          </cell>
          <cell r="H4" t="str">
            <v>each</v>
          </cell>
          <cell r="I4">
            <v>75</v>
          </cell>
        </row>
        <row r="5">
          <cell r="B5">
            <v>53</v>
          </cell>
          <cell r="C5">
            <v>2</v>
          </cell>
          <cell r="D5">
            <v>0</v>
          </cell>
          <cell r="E5">
            <v>0</v>
          </cell>
          <cell r="F5" t="str">
            <v>Man Mazdoor</v>
          </cell>
          <cell r="G5">
            <v>1</v>
          </cell>
          <cell r="H5" t="str">
            <v>each</v>
          </cell>
          <cell r="I5">
            <v>55</v>
          </cell>
        </row>
        <row r="6">
          <cell r="B6">
            <v>54</v>
          </cell>
          <cell r="C6">
            <v>3</v>
          </cell>
          <cell r="D6">
            <v>0</v>
          </cell>
          <cell r="E6">
            <v>0</v>
          </cell>
          <cell r="F6" t="str">
            <v>Woman Mazdoor</v>
          </cell>
          <cell r="G6">
            <v>1</v>
          </cell>
          <cell r="H6" t="str">
            <v>each</v>
          </cell>
          <cell r="I6">
            <v>55</v>
          </cell>
        </row>
        <row r="7">
          <cell r="B7">
            <v>60</v>
          </cell>
          <cell r="C7" t="str">
            <v>1a</v>
          </cell>
          <cell r="D7">
            <v>0</v>
          </cell>
          <cell r="E7">
            <v>0</v>
          </cell>
          <cell r="F7" t="str">
            <v>2nd Class Bricks</v>
          </cell>
          <cell r="G7">
            <v>1000</v>
          </cell>
          <cell r="H7" t="str">
            <v>Nos</v>
          </cell>
          <cell r="I7">
            <v>1200</v>
          </cell>
        </row>
        <row r="8">
          <cell r="B8">
            <v>67</v>
          </cell>
          <cell r="C8" t="str">
            <v>2c</v>
          </cell>
          <cell r="D8">
            <v>0</v>
          </cell>
          <cell r="E8">
            <v>0</v>
          </cell>
          <cell r="F8" t="str">
            <v>RR stone Granite Variety</v>
          </cell>
          <cell r="G8">
            <v>1</v>
          </cell>
          <cell r="H8" t="str">
            <v>cum</v>
          </cell>
          <cell r="I8">
            <v>75</v>
          </cell>
        </row>
        <row r="9">
          <cell r="B9">
            <v>72</v>
          </cell>
          <cell r="C9" t="str">
            <v>3a</v>
          </cell>
          <cell r="D9">
            <v>0</v>
          </cell>
          <cell r="E9">
            <v>0</v>
          </cell>
          <cell r="F9" t="str">
            <v>CR stone Granite Variety</v>
          </cell>
          <cell r="G9">
            <v>1</v>
          </cell>
          <cell r="H9" t="str">
            <v>cum</v>
          </cell>
          <cell r="I9">
            <v>109</v>
          </cell>
        </row>
        <row r="10">
          <cell r="B10">
            <v>80</v>
          </cell>
          <cell r="C10">
            <v>0</v>
          </cell>
          <cell r="D10">
            <v>0</v>
          </cell>
          <cell r="E10">
            <v>0</v>
          </cell>
          <cell r="F10" t="str">
            <v>6 mm SS</v>
          </cell>
          <cell r="G10">
            <v>1</v>
          </cell>
          <cell r="H10" t="str">
            <v>cum</v>
          </cell>
          <cell r="I10">
            <v>170</v>
          </cell>
        </row>
        <row r="11">
          <cell r="B11">
            <v>81</v>
          </cell>
          <cell r="C11">
            <v>0</v>
          </cell>
          <cell r="D11">
            <v>0</v>
          </cell>
          <cell r="E11">
            <v>0</v>
          </cell>
          <cell r="F11" t="str">
            <v>5 to 7 mm IRC</v>
          </cell>
          <cell r="G11">
            <v>1</v>
          </cell>
          <cell r="H11" t="str">
            <v>cum</v>
          </cell>
          <cell r="I11">
            <v>170</v>
          </cell>
        </row>
        <row r="12">
          <cell r="B12">
            <v>82</v>
          </cell>
          <cell r="C12">
            <v>0</v>
          </cell>
          <cell r="D12">
            <v>0</v>
          </cell>
          <cell r="E12">
            <v>0</v>
          </cell>
          <cell r="F12" t="str">
            <v>10 mm SS</v>
          </cell>
          <cell r="G12">
            <v>1</v>
          </cell>
          <cell r="H12" t="str">
            <v>cum</v>
          </cell>
          <cell r="I12">
            <v>250</v>
          </cell>
        </row>
        <row r="13">
          <cell r="B13">
            <v>83</v>
          </cell>
          <cell r="C13">
            <v>0</v>
          </cell>
          <cell r="D13">
            <v>0</v>
          </cell>
          <cell r="E13">
            <v>0</v>
          </cell>
          <cell r="F13" t="str">
            <v>10 to 11.2 IRC</v>
          </cell>
          <cell r="G13">
            <v>1</v>
          </cell>
          <cell r="H13" t="str">
            <v>cum</v>
          </cell>
          <cell r="I13">
            <v>250</v>
          </cell>
        </row>
        <row r="14">
          <cell r="B14">
            <v>84</v>
          </cell>
          <cell r="C14">
            <v>0</v>
          </cell>
          <cell r="D14">
            <v>0</v>
          </cell>
          <cell r="E14">
            <v>0</v>
          </cell>
          <cell r="F14" t="str">
            <v>12 mm SS</v>
          </cell>
          <cell r="G14">
            <v>1</v>
          </cell>
          <cell r="H14" t="str">
            <v>cum</v>
          </cell>
          <cell r="I14">
            <v>300</v>
          </cell>
        </row>
        <row r="15">
          <cell r="B15">
            <v>85</v>
          </cell>
          <cell r="C15">
            <v>0</v>
          </cell>
          <cell r="D15">
            <v>0</v>
          </cell>
          <cell r="E15">
            <v>0</v>
          </cell>
          <cell r="F15" t="str">
            <v>12 to 14 mm IRC</v>
          </cell>
          <cell r="G15">
            <v>1</v>
          </cell>
          <cell r="H15" t="str">
            <v>cum</v>
          </cell>
          <cell r="I15">
            <v>300</v>
          </cell>
        </row>
        <row r="16">
          <cell r="B16">
            <v>86</v>
          </cell>
          <cell r="C16">
            <v>0</v>
          </cell>
          <cell r="D16">
            <v>0</v>
          </cell>
          <cell r="E16">
            <v>0</v>
          </cell>
          <cell r="F16" t="str">
            <v>20 mm SS</v>
          </cell>
          <cell r="G16">
            <v>1</v>
          </cell>
          <cell r="H16" t="str">
            <v>cum</v>
          </cell>
          <cell r="I16">
            <v>380</v>
          </cell>
        </row>
        <row r="17">
          <cell r="B17">
            <v>87</v>
          </cell>
          <cell r="C17">
            <v>0</v>
          </cell>
          <cell r="D17">
            <v>0</v>
          </cell>
          <cell r="E17">
            <v>0</v>
          </cell>
          <cell r="F17" t="str">
            <v>20 to 22 mm IRC</v>
          </cell>
          <cell r="G17">
            <v>1</v>
          </cell>
          <cell r="H17" t="str">
            <v>cum</v>
          </cell>
          <cell r="I17">
            <v>375</v>
          </cell>
        </row>
        <row r="18">
          <cell r="B18">
            <v>88</v>
          </cell>
          <cell r="C18">
            <v>0</v>
          </cell>
          <cell r="D18">
            <v>0</v>
          </cell>
          <cell r="E18">
            <v>0</v>
          </cell>
          <cell r="F18" t="str">
            <v>25 mm SS</v>
          </cell>
          <cell r="G18">
            <v>1</v>
          </cell>
          <cell r="H18" t="str">
            <v>cum</v>
          </cell>
          <cell r="I18">
            <v>300</v>
          </cell>
        </row>
        <row r="19">
          <cell r="B19">
            <v>89</v>
          </cell>
          <cell r="C19">
            <v>0</v>
          </cell>
          <cell r="D19">
            <v>0</v>
          </cell>
          <cell r="E19">
            <v>0</v>
          </cell>
          <cell r="F19" t="str">
            <v>25 to 27 mm IRC</v>
          </cell>
          <cell r="G19">
            <v>1</v>
          </cell>
          <cell r="H19" t="str">
            <v>cum</v>
          </cell>
          <cell r="I19">
            <v>300</v>
          </cell>
        </row>
        <row r="20">
          <cell r="B20">
            <v>90</v>
          </cell>
          <cell r="C20">
            <v>0</v>
          </cell>
          <cell r="D20">
            <v>0</v>
          </cell>
          <cell r="E20">
            <v>0</v>
          </cell>
          <cell r="F20" t="str">
            <v>40 mm SS</v>
          </cell>
          <cell r="G20">
            <v>1</v>
          </cell>
          <cell r="H20" t="str">
            <v>cum</v>
          </cell>
          <cell r="I20">
            <v>215</v>
          </cell>
        </row>
        <row r="21">
          <cell r="B21">
            <v>91</v>
          </cell>
          <cell r="C21">
            <v>0</v>
          </cell>
          <cell r="D21">
            <v>0</v>
          </cell>
          <cell r="E21">
            <v>0</v>
          </cell>
          <cell r="F21" t="str">
            <v>40 to 45 mm IRC</v>
          </cell>
          <cell r="G21">
            <v>1</v>
          </cell>
          <cell r="H21" t="str">
            <v>cum</v>
          </cell>
          <cell r="I21">
            <v>200</v>
          </cell>
        </row>
        <row r="22">
          <cell r="B22">
            <v>92</v>
          </cell>
          <cell r="C22">
            <v>0</v>
          </cell>
          <cell r="D22">
            <v>0</v>
          </cell>
          <cell r="E22">
            <v>0</v>
          </cell>
          <cell r="F22" t="str">
            <v>50 mm SS</v>
          </cell>
          <cell r="G22">
            <v>1</v>
          </cell>
          <cell r="H22" t="str">
            <v>cum</v>
          </cell>
          <cell r="I22">
            <v>150</v>
          </cell>
        </row>
        <row r="23">
          <cell r="B23">
            <v>93</v>
          </cell>
          <cell r="C23">
            <v>0</v>
          </cell>
          <cell r="D23">
            <v>0</v>
          </cell>
          <cell r="E23">
            <v>0</v>
          </cell>
          <cell r="F23" t="str">
            <v>50 to 55mm IRC</v>
          </cell>
          <cell r="G23">
            <v>1</v>
          </cell>
          <cell r="H23" t="str">
            <v>cum</v>
          </cell>
          <cell r="I23">
            <v>120</v>
          </cell>
        </row>
        <row r="24">
          <cell r="B24">
            <v>94</v>
          </cell>
          <cell r="C24">
            <v>0</v>
          </cell>
          <cell r="D24">
            <v>0</v>
          </cell>
          <cell r="E24">
            <v>0</v>
          </cell>
          <cell r="F24" t="str">
            <v>60 mm SS</v>
          </cell>
          <cell r="G24">
            <v>1</v>
          </cell>
          <cell r="H24" t="str">
            <v>cum</v>
          </cell>
          <cell r="I24">
            <v>150</v>
          </cell>
        </row>
        <row r="25">
          <cell r="B25">
            <v>95</v>
          </cell>
          <cell r="C25">
            <v>0</v>
          </cell>
          <cell r="D25">
            <v>0</v>
          </cell>
          <cell r="E25">
            <v>0</v>
          </cell>
          <cell r="F25" t="str">
            <v>60 to 63 mm IRC</v>
          </cell>
          <cell r="G25">
            <v>1</v>
          </cell>
          <cell r="H25" t="str">
            <v>cum</v>
          </cell>
          <cell r="I25">
            <v>110</v>
          </cell>
        </row>
        <row r="26">
          <cell r="B26">
            <v>96</v>
          </cell>
          <cell r="C26">
            <v>0</v>
          </cell>
          <cell r="D26">
            <v>0</v>
          </cell>
          <cell r="E26">
            <v>0</v>
          </cell>
          <cell r="F26" t="str">
            <v>65 mm SS</v>
          </cell>
          <cell r="G26">
            <v>1</v>
          </cell>
          <cell r="H26" t="str">
            <v>cum</v>
          </cell>
          <cell r="I26">
            <v>150</v>
          </cell>
        </row>
        <row r="27">
          <cell r="B27">
            <v>97</v>
          </cell>
          <cell r="C27">
            <v>0</v>
          </cell>
          <cell r="D27">
            <v>0</v>
          </cell>
          <cell r="E27">
            <v>0</v>
          </cell>
          <cell r="F27" t="str">
            <v>65 mm IRC</v>
          </cell>
          <cell r="G27">
            <v>1</v>
          </cell>
          <cell r="H27" t="str">
            <v>cum</v>
          </cell>
          <cell r="I27">
            <v>120</v>
          </cell>
        </row>
        <row r="28">
          <cell r="B28">
            <v>98</v>
          </cell>
          <cell r="C28">
            <v>0</v>
          </cell>
          <cell r="D28">
            <v>0</v>
          </cell>
          <cell r="E28">
            <v>0</v>
          </cell>
          <cell r="F28" t="str">
            <v>75 mm SS</v>
          </cell>
          <cell r="G28">
            <v>1</v>
          </cell>
          <cell r="H28" t="str">
            <v>cum</v>
          </cell>
          <cell r="I28">
            <v>95</v>
          </cell>
        </row>
        <row r="29">
          <cell r="B29">
            <v>99</v>
          </cell>
          <cell r="C29">
            <v>0</v>
          </cell>
          <cell r="D29">
            <v>0</v>
          </cell>
          <cell r="E29">
            <v>0</v>
          </cell>
          <cell r="F29" t="str">
            <v>75 mm IRC</v>
          </cell>
          <cell r="G29">
            <v>1</v>
          </cell>
          <cell r="H29" t="str">
            <v>cum</v>
          </cell>
          <cell r="I29">
            <v>95</v>
          </cell>
        </row>
        <row r="30">
          <cell r="B30">
            <v>100</v>
          </cell>
          <cell r="C30">
            <v>0</v>
          </cell>
          <cell r="D30">
            <v>0</v>
          </cell>
          <cell r="E30">
            <v>0</v>
          </cell>
          <cell r="F30" t="str">
            <v>Blasting</v>
          </cell>
          <cell r="G30">
            <v>1</v>
          </cell>
          <cell r="H30" t="str">
            <v>cum</v>
          </cell>
          <cell r="I30">
            <v>40</v>
          </cell>
        </row>
        <row r="31">
          <cell r="B31">
            <v>101</v>
          </cell>
          <cell r="C31">
            <v>0</v>
          </cell>
          <cell r="D31">
            <v>0</v>
          </cell>
          <cell r="E31">
            <v>0</v>
          </cell>
          <cell r="F31" t="str">
            <v>Metal Crushing</v>
          </cell>
          <cell r="G31">
            <v>1</v>
          </cell>
          <cell r="H31" t="str">
            <v>cum</v>
          </cell>
          <cell r="I31">
            <v>0.25</v>
          </cell>
        </row>
        <row r="32">
          <cell r="B32">
            <v>127</v>
          </cell>
          <cell r="C32">
            <v>9</v>
          </cell>
          <cell r="D32">
            <v>0</v>
          </cell>
          <cell r="E32">
            <v>0</v>
          </cell>
          <cell r="F32" t="str">
            <v>Gravel</v>
          </cell>
          <cell r="G32">
            <v>1</v>
          </cell>
          <cell r="H32" t="str">
            <v>cum</v>
          </cell>
          <cell r="I32">
            <v>25</v>
          </cell>
        </row>
        <row r="33">
          <cell r="B33">
            <v>128</v>
          </cell>
          <cell r="C33">
            <v>0</v>
          </cell>
          <cell r="D33">
            <v>0</v>
          </cell>
          <cell r="E33">
            <v>0</v>
          </cell>
          <cell r="F33" t="str">
            <v>Quarry rubbish</v>
          </cell>
          <cell r="G33">
            <v>1</v>
          </cell>
          <cell r="H33" t="str">
            <v>cum</v>
          </cell>
          <cell r="I33">
            <v>11</v>
          </cell>
        </row>
        <row r="34">
          <cell r="B34">
            <v>129</v>
          </cell>
          <cell r="C34">
            <v>0</v>
          </cell>
          <cell r="D34">
            <v>0</v>
          </cell>
          <cell r="E34">
            <v>0</v>
          </cell>
          <cell r="F34" t="str">
            <v>Sand for Mortar, Seal coat</v>
          </cell>
          <cell r="G34">
            <v>1</v>
          </cell>
          <cell r="H34" t="str">
            <v>cum</v>
          </cell>
          <cell r="I34">
            <v>50</v>
          </cell>
        </row>
        <row r="35">
          <cell r="B35">
            <v>130</v>
          </cell>
          <cell r="C35">
            <v>0</v>
          </cell>
          <cell r="D35">
            <v>0</v>
          </cell>
          <cell r="E35">
            <v>0</v>
          </cell>
          <cell r="F35" t="str">
            <v>Sand for Filling, Blindage</v>
          </cell>
          <cell r="G35">
            <v>1</v>
          </cell>
          <cell r="H35" t="str">
            <v>cum</v>
          </cell>
          <cell r="I35">
            <v>20</v>
          </cell>
        </row>
        <row r="36">
          <cell r="B36">
            <v>133</v>
          </cell>
          <cell r="C36">
            <v>15</v>
          </cell>
          <cell r="D36">
            <v>0</v>
          </cell>
          <cell r="E36">
            <v>0</v>
          </cell>
          <cell r="F36" t="str">
            <v>40 mm thick 0.762 m x.457 m</v>
          </cell>
          <cell r="G36">
            <v>1</v>
          </cell>
          <cell r="H36" t="str">
            <v>sqm</v>
          </cell>
          <cell r="I36">
            <v>70</v>
          </cell>
        </row>
        <row r="37">
          <cell r="B37">
            <v>134</v>
          </cell>
          <cell r="C37">
            <v>16</v>
          </cell>
          <cell r="D37">
            <v>0</v>
          </cell>
          <cell r="E37">
            <v>0</v>
          </cell>
          <cell r="F37" t="str">
            <v>50 mm thick 0.762 m x.457 m</v>
          </cell>
          <cell r="G37">
            <v>1</v>
          </cell>
          <cell r="H37" t="str">
            <v>sqm</v>
          </cell>
          <cell r="I37">
            <v>80</v>
          </cell>
        </row>
        <row r="38">
          <cell r="B38">
            <v>136</v>
          </cell>
          <cell r="C38">
            <v>0</v>
          </cell>
          <cell r="D38">
            <v>0</v>
          </cell>
          <cell r="E38">
            <v>0</v>
          </cell>
          <cell r="F38" t="str">
            <v>25.4 mm thick White</v>
          </cell>
          <cell r="G38">
            <v>10</v>
          </cell>
          <cell r="H38" t="str">
            <v>sqm</v>
          </cell>
          <cell r="I38">
            <v>550</v>
          </cell>
        </row>
        <row r="39">
          <cell r="B39">
            <v>137</v>
          </cell>
          <cell r="C39">
            <v>0</v>
          </cell>
          <cell r="D39">
            <v>0</v>
          </cell>
          <cell r="E39">
            <v>0</v>
          </cell>
          <cell r="F39" t="str">
            <v>25.4 mm thick Blue</v>
          </cell>
          <cell r="G39">
            <v>10</v>
          </cell>
          <cell r="H39" t="str">
            <v>sqm</v>
          </cell>
          <cell r="I39">
            <v>600</v>
          </cell>
        </row>
        <row r="40">
          <cell r="B40">
            <v>138</v>
          </cell>
          <cell r="C40">
            <v>0</v>
          </cell>
          <cell r="D40">
            <v>0</v>
          </cell>
          <cell r="E40">
            <v>0</v>
          </cell>
          <cell r="F40" t="str">
            <v>25.4 mm thick White</v>
          </cell>
          <cell r="G40">
            <v>10</v>
          </cell>
          <cell r="H40" t="str">
            <v>sqm</v>
          </cell>
          <cell r="I40">
            <v>600</v>
          </cell>
        </row>
        <row r="41">
          <cell r="B41">
            <v>139</v>
          </cell>
          <cell r="C41">
            <v>0</v>
          </cell>
          <cell r="D41">
            <v>0</v>
          </cell>
          <cell r="E41">
            <v>0</v>
          </cell>
          <cell r="F41" t="str">
            <v>25.4 mm thick Blue</v>
          </cell>
          <cell r="G41">
            <v>10</v>
          </cell>
          <cell r="H41" t="str">
            <v>sqm</v>
          </cell>
          <cell r="I41">
            <v>700</v>
          </cell>
        </row>
        <row r="42">
          <cell r="B42">
            <v>140</v>
          </cell>
          <cell r="C42">
            <v>0</v>
          </cell>
          <cell r="D42">
            <v>0</v>
          </cell>
          <cell r="E42">
            <v>0</v>
          </cell>
          <cell r="F42" t="str">
            <v>25.4 mm thick White  0.457mx0.457 m</v>
          </cell>
          <cell r="G42">
            <v>10</v>
          </cell>
          <cell r="H42" t="str">
            <v>sqm</v>
          </cell>
          <cell r="I42">
            <v>1000</v>
          </cell>
        </row>
        <row r="43">
          <cell r="B43">
            <v>141</v>
          </cell>
          <cell r="C43">
            <v>0</v>
          </cell>
          <cell r="D43">
            <v>0</v>
          </cell>
          <cell r="E43">
            <v>0</v>
          </cell>
          <cell r="F43" t="str">
            <v>25.4 mm thick Blue  0.457mx0.457 m</v>
          </cell>
          <cell r="G43">
            <v>10</v>
          </cell>
          <cell r="H43" t="str">
            <v>sqm</v>
          </cell>
          <cell r="I43">
            <v>1150</v>
          </cell>
        </row>
        <row r="44">
          <cell r="B44">
            <v>142</v>
          </cell>
          <cell r="C44">
            <v>20</v>
          </cell>
          <cell r="D44">
            <v>0</v>
          </cell>
          <cell r="E44">
            <v>0</v>
          </cell>
          <cell r="F44" t="str">
            <v>25.4 mm thick   0.457mx0.457 m</v>
          </cell>
          <cell r="G44">
            <v>10</v>
          </cell>
          <cell r="H44" t="str">
            <v>sqm</v>
          </cell>
          <cell r="I44">
            <v>900</v>
          </cell>
        </row>
        <row r="45">
          <cell r="B45">
            <v>143</v>
          </cell>
          <cell r="C45">
            <v>21</v>
          </cell>
          <cell r="D45">
            <v>0</v>
          </cell>
          <cell r="E45">
            <v>0</v>
          </cell>
          <cell r="F45" t="str">
            <v>25.4 mm thick 0.254mx0.254 m White</v>
          </cell>
          <cell r="G45">
            <v>10</v>
          </cell>
          <cell r="H45" t="str">
            <v>sqm</v>
          </cell>
          <cell r="I45">
            <v>2700</v>
          </cell>
        </row>
        <row r="46">
          <cell r="B46">
            <v>168</v>
          </cell>
          <cell r="C46">
            <v>0</v>
          </cell>
          <cell r="D46">
            <v>0</v>
          </cell>
          <cell r="E46">
            <v>0</v>
          </cell>
          <cell r="F46" t="str">
            <v>Cement Mortar</v>
          </cell>
          <cell r="G46">
            <v>1</v>
          </cell>
          <cell r="H46" t="str">
            <v>cum</v>
          </cell>
          <cell r="I46">
            <v>15</v>
          </cell>
        </row>
        <row r="47">
          <cell r="B47">
            <v>169</v>
          </cell>
          <cell r="C47">
            <v>0</v>
          </cell>
          <cell r="D47">
            <v>0</v>
          </cell>
          <cell r="E47">
            <v>0</v>
          </cell>
          <cell r="F47" t="str">
            <v>By Machine</v>
          </cell>
          <cell r="G47">
            <v>1</v>
          </cell>
          <cell r="H47" t="str">
            <v>cum</v>
          </cell>
          <cell r="I47">
            <v>25</v>
          </cell>
        </row>
        <row r="48">
          <cell r="B48">
            <v>175</v>
          </cell>
          <cell r="C48">
            <v>0</v>
          </cell>
          <cell r="D48">
            <v>0</v>
          </cell>
          <cell r="E48">
            <v>0</v>
          </cell>
          <cell r="F48" t="str">
            <v>White Cement</v>
          </cell>
          <cell r="G48">
            <v>1</v>
          </cell>
          <cell r="H48" t="str">
            <v>kg</v>
          </cell>
          <cell r="I48">
            <v>9</v>
          </cell>
        </row>
        <row r="49">
          <cell r="B49">
            <v>176</v>
          </cell>
          <cell r="C49">
            <v>0</v>
          </cell>
          <cell r="D49">
            <v>0</v>
          </cell>
          <cell r="E49">
            <v>0</v>
          </cell>
          <cell r="F49" t="str">
            <v xml:space="preserve">Scantling below 2m </v>
          </cell>
          <cell r="G49">
            <v>1</v>
          </cell>
          <cell r="H49" t="str">
            <v>cum</v>
          </cell>
          <cell r="I49">
            <v>50000</v>
          </cell>
        </row>
        <row r="50">
          <cell r="B50">
            <v>177</v>
          </cell>
          <cell r="C50">
            <v>0</v>
          </cell>
          <cell r="D50">
            <v>0</v>
          </cell>
          <cell r="E50">
            <v>0</v>
          </cell>
          <cell r="F50" t="str">
            <v xml:space="preserve">Scantling above 2m </v>
          </cell>
          <cell r="G50">
            <v>1</v>
          </cell>
          <cell r="H50" t="str">
            <v>cum</v>
          </cell>
          <cell r="I50">
            <v>52000</v>
          </cell>
        </row>
        <row r="51">
          <cell r="B51">
            <v>178</v>
          </cell>
          <cell r="C51">
            <v>0</v>
          </cell>
          <cell r="D51">
            <v>0</v>
          </cell>
          <cell r="E51">
            <v>0</v>
          </cell>
          <cell r="F51" t="str">
            <v>Planks of all sizes</v>
          </cell>
          <cell r="G51">
            <v>1</v>
          </cell>
          <cell r="H51" t="str">
            <v>cum</v>
          </cell>
          <cell r="I51">
            <v>55000</v>
          </cell>
        </row>
        <row r="52">
          <cell r="B52">
            <v>176</v>
          </cell>
          <cell r="C52">
            <v>0</v>
          </cell>
          <cell r="D52">
            <v>0</v>
          </cell>
          <cell r="E52">
            <v>0</v>
          </cell>
          <cell r="F52" t="str">
            <v xml:space="preserve">Scantling below 2m </v>
          </cell>
          <cell r="G52">
            <v>1</v>
          </cell>
          <cell r="H52" t="str">
            <v>cum</v>
          </cell>
          <cell r="I52">
            <v>40000</v>
          </cell>
        </row>
        <row r="53">
          <cell r="B53">
            <v>177</v>
          </cell>
          <cell r="C53">
            <v>0</v>
          </cell>
          <cell r="D53">
            <v>0</v>
          </cell>
          <cell r="E53">
            <v>0</v>
          </cell>
          <cell r="F53" t="str">
            <v xml:space="preserve">Scantling above 2m </v>
          </cell>
          <cell r="G53">
            <v>1</v>
          </cell>
          <cell r="H53" t="str">
            <v>cum</v>
          </cell>
          <cell r="I53">
            <v>42000</v>
          </cell>
        </row>
        <row r="54">
          <cell r="B54">
            <v>178</v>
          </cell>
          <cell r="C54">
            <v>0</v>
          </cell>
          <cell r="D54">
            <v>0</v>
          </cell>
          <cell r="E54">
            <v>0</v>
          </cell>
          <cell r="F54" t="str">
            <v>Planks of all sizes</v>
          </cell>
          <cell r="G54">
            <v>1</v>
          </cell>
          <cell r="H54" t="str">
            <v>cum</v>
          </cell>
          <cell r="I54">
            <v>45000</v>
          </cell>
        </row>
        <row r="55">
          <cell r="B55">
            <v>187</v>
          </cell>
          <cell r="C55">
            <v>0</v>
          </cell>
          <cell r="D55">
            <v>0</v>
          </cell>
          <cell r="E55">
            <v>0</v>
          </cell>
          <cell r="F55" t="str">
            <v>Steel fabrication</v>
          </cell>
          <cell r="G55">
            <v>1</v>
          </cell>
          <cell r="H55" t="str">
            <v>kg</v>
          </cell>
          <cell r="I55">
            <v>3.25</v>
          </cell>
        </row>
        <row r="56">
          <cell r="B56">
            <v>234</v>
          </cell>
          <cell r="C56">
            <v>0</v>
          </cell>
          <cell r="D56">
            <v>0</v>
          </cell>
          <cell r="E56">
            <v>0</v>
          </cell>
          <cell r="F56" t="str">
            <v>25 mm thick</v>
          </cell>
          <cell r="G56">
            <v>1</v>
          </cell>
          <cell r="H56" t="str">
            <v>sqm</v>
          </cell>
          <cell r="I56">
            <v>80</v>
          </cell>
        </row>
        <row r="57">
          <cell r="B57">
            <v>235</v>
          </cell>
          <cell r="C57">
            <v>0</v>
          </cell>
          <cell r="D57">
            <v>0</v>
          </cell>
          <cell r="E57">
            <v>0</v>
          </cell>
          <cell r="F57" t="str">
            <v>40 mm thick</v>
          </cell>
          <cell r="G57">
            <v>1</v>
          </cell>
          <cell r="H57" t="str">
            <v>sqm</v>
          </cell>
          <cell r="I57">
            <v>105</v>
          </cell>
        </row>
        <row r="58">
          <cell r="B58">
            <v>236</v>
          </cell>
          <cell r="C58">
            <v>0</v>
          </cell>
          <cell r="D58">
            <v>0</v>
          </cell>
          <cell r="E58">
            <v>0</v>
          </cell>
          <cell r="F58" t="str">
            <v>50 mm thick</v>
          </cell>
          <cell r="G58">
            <v>1</v>
          </cell>
          <cell r="H58" t="str">
            <v>sqm</v>
          </cell>
          <cell r="I58">
            <v>140</v>
          </cell>
        </row>
        <row r="59">
          <cell r="B59">
            <v>239</v>
          </cell>
          <cell r="C59">
            <v>0</v>
          </cell>
          <cell r="D59">
            <v>0</v>
          </cell>
          <cell r="E59">
            <v>0</v>
          </cell>
          <cell r="F59" t="str">
            <v>Dry powder Distemper</v>
          </cell>
          <cell r="G59">
            <v>1</v>
          </cell>
          <cell r="H59" t="str">
            <v>kg</v>
          </cell>
          <cell r="I59">
            <v>20</v>
          </cell>
        </row>
        <row r="60">
          <cell r="B60">
            <v>240</v>
          </cell>
          <cell r="C60">
            <v>0</v>
          </cell>
          <cell r="D60">
            <v>0</v>
          </cell>
          <cell r="E60">
            <v>0</v>
          </cell>
          <cell r="F60" t="str">
            <v>Oil bound washable Distemper</v>
          </cell>
          <cell r="G60">
            <v>1</v>
          </cell>
          <cell r="H60" t="str">
            <v>kg</v>
          </cell>
          <cell r="I60">
            <v>60</v>
          </cell>
        </row>
        <row r="61">
          <cell r="B61">
            <v>245</v>
          </cell>
          <cell r="C61">
            <v>0</v>
          </cell>
          <cell r="D61">
            <v>0</v>
          </cell>
          <cell r="E61">
            <v>0</v>
          </cell>
          <cell r="F61" t="str">
            <v>Alluminium paint 1st grade</v>
          </cell>
          <cell r="G61">
            <v>1</v>
          </cell>
          <cell r="H61" t="str">
            <v>litre</v>
          </cell>
          <cell r="I61">
            <v>176</v>
          </cell>
        </row>
        <row r="62">
          <cell r="B62">
            <v>246</v>
          </cell>
          <cell r="C62">
            <v>0</v>
          </cell>
          <cell r="D62">
            <v>0</v>
          </cell>
          <cell r="E62">
            <v>0</v>
          </cell>
          <cell r="F62" t="str">
            <v>Anti corrosive bitument pain (Black) grade -1</v>
          </cell>
          <cell r="G62">
            <v>1</v>
          </cell>
          <cell r="H62" t="str">
            <v>litre</v>
          </cell>
          <cell r="I62">
            <v>250</v>
          </cell>
        </row>
        <row r="63">
          <cell r="B63">
            <v>247</v>
          </cell>
          <cell r="C63">
            <v>0</v>
          </cell>
          <cell r="D63">
            <v>0</v>
          </cell>
          <cell r="E63">
            <v>0</v>
          </cell>
          <cell r="F63" t="str">
            <v>Red oxide Primer Paint grade-I</v>
          </cell>
          <cell r="G63">
            <v>1</v>
          </cell>
          <cell r="H63" t="str">
            <v>litre</v>
          </cell>
          <cell r="I63">
            <v>55</v>
          </cell>
        </row>
        <row r="64">
          <cell r="B64">
            <v>248</v>
          </cell>
          <cell r="C64">
            <v>0</v>
          </cell>
          <cell r="D64">
            <v>0</v>
          </cell>
          <cell r="E64">
            <v>0</v>
          </cell>
          <cell r="F64" t="str">
            <v>Red oxide Primer Paint grade-II</v>
          </cell>
          <cell r="G64">
            <v>1</v>
          </cell>
          <cell r="H64" t="str">
            <v>litre</v>
          </cell>
          <cell r="I64">
            <v>45</v>
          </cell>
        </row>
        <row r="65">
          <cell r="B65">
            <v>249</v>
          </cell>
          <cell r="C65">
            <v>0</v>
          </cell>
          <cell r="D65">
            <v>0</v>
          </cell>
          <cell r="E65">
            <v>0</v>
          </cell>
          <cell r="F65" t="str">
            <v>Synthetic enamel paints in all shades grade-I</v>
          </cell>
          <cell r="G65">
            <v>1</v>
          </cell>
          <cell r="H65" t="str">
            <v>litre</v>
          </cell>
          <cell r="I65">
            <v>130</v>
          </cell>
        </row>
        <row r="66">
          <cell r="B66">
            <v>250</v>
          </cell>
          <cell r="C66">
            <v>0</v>
          </cell>
          <cell r="D66">
            <v>0</v>
          </cell>
          <cell r="E66">
            <v>0</v>
          </cell>
          <cell r="F66" t="str">
            <v>Synthetic enamel paints in all shades grade-II</v>
          </cell>
          <cell r="G66">
            <v>1</v>
          </cell>
          <cell r="H66" t="str">
            <v>litre</v>
          </cell>
          <cell r="I66">
            <v>95</v>
          </cell>
        </row>
        <row r="67">
          <cell r="B67">
            <v>251</v>
          </cell>
          <cell r="C67">
            <v>0</v>
          </cell>
          <cell r="D67">
            <v>0</v>
          </cell>
          <cell r="E67">
            <v>0</v>
          </cell>
          <cell r="F67" t="str">
            <v>Plastic emultion paint grade-I</v>
          </cell>
          <cell r="G67">
            <v>1</v>
          </cell>
          <cell r="H67" t="str">
            <v>litre</v>
          </cell>
          <cell r="I67">
            <v>200</v>
          </cell>
        </row>
        <row r="68">
          <cell r="B68">
            <v>252</v>
          </cell>
          <cell r="C68">
            <v>63</v>
          </cell>
          <cell r="D68">
            <v>0</v>
          </cell>
          <cell r="E68">
            <v>0</v>
          </cell>
          <cell r="F68" t="str">
            <v>Oil Bound Distemper</v>
          </cell>
          <cell r="G68">
            <v>1</v>
          </cell>
          <cell r="H68" t="str">
            <v>kg</v>
          </cell>
          <cell r="I68">
            <v>40</v>
          </cell>
        </row>
        <row r="69">
          <cell r="B69">
            <v>253</v>
          </cell>
          <cell r="C69">
            <v>64</v>
          </cell>
          <cell r="D69">
            <v>0</v>
          </cell>
          <cell r="E69">
            <v>0</v>
          </cell>
          <cell r="F69" t="str">
            <v>Water proof cement paint of Superior Quality</v>
          </cell>
          <cell r="G69">
            <v>1</v>
          </cell>
          <cell r="H69" t="str">
            <v>kg</v>
          </cell>
          <cell r="I69">
            <v>30</v>
          </cell>
        </row>
        <row r="70">
          <cell r="B70">
            <v>254</v>
          </cell>
          <cell r="C70">
            <v>65</v>
          </cell>
          <cell r="D70">
            <v>0</v>
          </cell>
          <cell r="E70">
            <v>0</v>
          </cell>
          <cell r="F70" t="str">
            <v>White lead</v>
          </cell>
          <cell r="G70">
            <v>1</v>
          </cell>
          <cell r="H70" t="str">
            <v>kg</v>
          </cell>
          <cell r="I70">
            <v>50</v>
          </cell>
        </row>
        <row r="71">
          <cell r="B71">
            <v>255</v>
          </cell>
          <cell r="C71">
            <v>66</v>
          </cell>
          <cell r="D71">
            <v>0</v>
          </cell>
          <cell r="E71">
            <v>0</v>
          </cell>
          <cell r="F71" t="str">
            <v>Marble powder</v>
          </cell>
          <cell r="G71">
            <v>1</v>
          </cell>
          <cell r="H71" t="str">
            <v>kg</v>
          </cell>
          <cell r="I71">
            <v>12.5</v>
          </cell>
        </row>
        <row r="72">
          <cell r="B72">
            <v>256</v>
          </cell>
          <cell r="C72">
            <v>67</v>
          </cell>
          <cell r="D72">
            <v>0</v>
          </cell>
          <cell r="E72">
            <v>0</v>
          </cell>
          <cell r="F72" t="str">
            <v>Cement Primer grade-I</v>
          </cell>
          <cell r="G72">
            <v>1</v>
          </cell>
          <cell r="H72" t="str">
            <v>kg</v>
          </cell>
          <cell r="I72">
            <v>65</v>
          </cell>
        </row>
        <row r="73">
          <cell r="B73">
            <v>257</v>
          </cell>
          <cell r="C73">
            <v>0</v>
          </cell>
          <cell r="D73">
            <v>0</v>
          </cell>
          <cell r="E73">
            <v>0</v>
          </cell>
          <cell r="F73" t="str">
            <v>Cement Primer grade-II</v>
          </cell>
          <cell r="G73">
            <v>1</v>
          </cell>
          <cell r="H73" t="str">
            <v>kg</v>
          </cell>
          <cell r="I73">
            <v>50</v>
          </cell>
        </row>
        <row r="74">
          <cell r="B74">
            <v>274</v>
          </cell>
          <cell r="C74">
            <v>0</v>
          </cell>
          <cell r="D74" t="str">
            <v>b</v>
          </cell>
          <cell r="E74">
            <v>0</v>
          </cell>
          <cell r="F74" t="str">
            <v>Fevicol</v>
          </cell>
          <cell r="G74">
            <v>1</v>
          </cell>
          <cell r="H74" t="str">
            <v>kg</v>
          </cell>
          <cell r="I74">
            <v>100</v>
          </cell>
        </row>
        <row r="75">
          <cell r="B75">
            <v>352</v>
          </cell>
          <cell r="C75">
            <v>0</v>
          </cell>
          <cell r="D75" t="str">
            <v>a</v>
          </cell>
          <cell r="E75">
            <v>0</v>
          </cell>
          <cell r="F75" t="str">
            <v>Clearing heavy jungle</v>
          </cell>
          <cell r="G75">
            <v>10</v>
          </cell>
          <cell r="H75" t="str">
            <v>sqm</v>
          </cell>
          <cell r="I75">
            <v>6</v>
          </cell>
        </row>
        <row r="76">
          <cell r="B76">
            <v>353</v>
          </cell>
          <cell r="C76">
            <v>0</v>
          </cell>
          <cell r="D76" t="str">
            <v>b</v>
          </cell>
          <cell r="E76">
            <v>0</v>
          </cell>
          <cell r="F76" t="str">
            <v>Clearing Light jungle</v>
          </cell>
          <cell r="G76">
            <v>10</v>
          </cell>
          <cell r="H76" t="str">
            <v>sqm</v>
          </cell>
          <cell r="I76">
            <v>5</v>
          </cell>
        </row>
        <row r="77">
          <cell r="B77">
            <v>354</v>
          </cell>
          <cell r="C77">
            <v>0</v>
          </cell>
          <cell r="D77" t="str">
            <v>c</v>
          </cell>
          <cell r="E77">
            <v>0</v>
          </cell>
          <cell r="F77" t="str">
            <v>Clearing Scrub jungle</v>
          </cell>
          <cell r="G77">
            <v>10</v>
          </cell>
          <cell r="H77" t="str">
            <v>sqm</v>
          </cell>
          <cell r="I77">
            <v>3</v>
          </cell>
        </row>
        <row r="78">
          <cell r="B78">
            <v>355</v>
          </cell>
          <cell r="C78">
            <v>0</v>
          </cell>
          <cell r="D78" t="str">
            <v>d</v>
          </cell>
          <cell r="E78">
            <v>0</v>
          </cell>
          <cell r="F78" t="str">
            <v xml:space="preserve">Cleaing Julie flora </v>
          </cell>
          <cell r="G78">
            <v>10</v>
          </cell>
          <cell r="H78" t="str">
            <v>sqm</v>
          </cell>
          <cell r="I78">
            <v>14</v>
          </cell>
        </row>
        <row r="79">
          <cell r="B79">
            <v>408</v>
          </cell>
          <cell r="C79">
            <v>0</v>
          </cell>
          <cell r="D79" t="str">
            <v>a</v>
          </cell>
          <cell r="E79">
            <v>0</v>
          </cell>
          <cell r="F79" t="str">
            <v>Loamy &amp; Clay soils like BC soils, Red earth &amp; OG SS 302 &amp; 303</v>
          </cell>
          <cell r="G79">
            <v>10</v>
          </cell>
          <cell r="H79" t="str">
            <v>cum</v>
          </cell>
          <cell r="I79">
            <v>235</v>
          </cell>
        </row>
        <row r="80">
          <cell r="B80">
            <v>409</v>
          </cell>
          <cell r="C80">
            <v>0</v>
          </cell>
          <cell r="D80">
            <v>0</v>
          </cell>
          <cell r="E80">
            <v>0</v>
          </cell>
          <cell r="F80" t="str">
            <v>Loamy &amp; Clay soils like BC soils, Red earth &amp; OG SS 301</v>
          </cell>
          <cell r="G80">
            <v>10</v>
          </cell>
          <cell r="H80" t="str">
            <v>cum</v>
          </cell>
          <cell r="I80">
            <v>215</v>
          </cell>
        </row>
        <row r="81">
          <cell r="B81">
            <v>412</v>
          </cell>
          <cell r="C81">
            <v>0</v>
          </cell>
          <cell r="D81">
            <v>0</v>
          </cell>
          <cell r="E81">
            <v>0</v>
          </cell>
          <cell r="F81" t="str">
            <v>Hard Gravelly Soils SS 302 &amp; 303</v>
          </cell>
          <cell r="G81">
            <v>10</v>
          </cell>
          <cell r="H81" t="str">
            <v>cum</v>
          </cell>
          <cell r="I81">
            <v>250</v>
          </cell>
        </row>
        <row r="82">
          <cell r="B82">
            <v>413</v>
          </cell>
          <cell r="C82">
            <v>0</v>
          </cell>
          <cell r="D82">
            <v>0</v>
          </cell>
          <cell r="E82">
            <v>0</v>
          </cell>
          <cell r="F82" t="str">
            <v>Hard Gravelly Soils SS 301</v>
          </cell>
          <cell r="G82">
            <v>10</v>
          </cell>
          <cell r="H82" t="str">
            <v>cum</v>
          </cell>
          <cell r="I82">
            <v>230</v>
          </cell>
        </row>
        <row r="83">
          <cell r="B83">
            <v>459</v>
          </cell>
          <cell r="C83">
            <v>35</v>
          </cell>
          <cell r="D83">
            <v>0</v>
          </cell>
          <cell r="E83">
            <v>0</v>
          </cell>
          <cell r="F83" t="str">
            <v>Vibrating Concrete</v>
          </cell>
          <cell r="G83">
            <v>1</v>
          </cell>
          <cell r="H83" t="str">
            <v>cum</v>
          </cell>
          <cell r="I83">
            <v>22.4</v>
          </cell>
        </row>
        <row r="84">
          <cell r="B84">
            <v>460</v>
          </cell>
          <cell r="C84">
            <v>36</v>
          </cell>
          <cell r="D84">
            <v>0</v>
          </cell>
          <cell r="E84">
            <v>0</v>
          </cell>
          <cell r="F84" t="str">
            <v>Machine mixing Concrete</v>
          </cell>
          <cell r="G84">
            <v>1</v>
          </cell>
          <cell r="H84" t="str">
            <v>cum</v>
          </cell>
          <cell r="I84">
            <v>21.8</v>
          </cell>
        </row>
        <row r="85">
          <cell r="B85">
            <v>461</v>
          </cell>
          <cell r="C85">
            <v>37</v>
          </cell>
          <cell r="D85">
            <v>0</v>
          </cell>
          <cell r="E85">
            <v>0</v>
          </cell>
          <cell r="F85" t="str">
            <v>Power for Mixer</v>
          </cell>
          <cell r="G85">
            <v>1</v>
          </cell>
          <cell r="H85" t="str">
            <v>cum</v>
          </cell>
          <cell r="I85">
            <v>14.5</v>
          </cell>
        </row>
        <row r="86">
          <cell r="B86">
            <v>495</v>
          </cell>
          <cell r="C86">
            <v>40</v>
          </cell>
          <cell r="D86" t="str">
            <v>a</v>
          </cell>
          <cell r="E86">
            <v>0</v>
          </cell>
          <cell r="F86" t="str">
            <v>First Floor</v>
          </cell>
          <cell r="G86">
            <v>1</v>
          </cell>
          <cell r="H86" t="str">
            <v>cum</v>
          </cell>
          <cell r="I86">
            <v>22</v>
          </cell>
        </row>
        <row r="87">
          <cell r="B87">
            <v>496</v>
          </cell>
          <cell r="C87">
            <v>0</v>
          </cell>
          <cell r="D87" t="str">
            <v>b</v>
          </cell>
          <cell r="E87">
            <v>0</v>
          </cell>
          <cell r="F87" t="str">
            <v>Second Floor</v>
          </cell>
          <cell r="G87">
            <v>1</v>
          </cell>
          <cell r="H87" t="str">
            <v>cum</v>
          </cell>
          <cell r="I87">
            <v>27</v>
          </cell>
        </row>
        <row r="88">
          <cell r="B88">
            <v>497</v>
          </cell>
          <cell r="C88">
            <v>0</v>
          </cell>
          <cell r="D88" t="str">
            <v>c</v>
          </cell>
          <cell r="E88">
            <v>0</v>
          </cell>
          <cell r="F88" t="str">
            <v>Third Floor</v>
          </cell>
          <cell r="G88">
            <v>1</v>
          </cell>
          <cell r="H88" t="str">
            <v>cum</v>
          </cell>
          <cell r="I88">
            <v>37</v>
          </cell>
        </row>
        <row r="89">
          <cell r="B89">
            <v>498</v>
          </cell>
          <cell r="C89">
            <v>0</v>
          </cell>
          <cell r="D89" t="str">
            <v>d</v>
          </cell>
          <cell r="E89">
            <v>0</v>
          </cell>
          <cell r="F89" t="str">
            <v>Each Additional Floor</v>
          </cell>
          <cell r="G89">
            <v>1</v>
          </cell>
          <cell r="H89" t="str">
            <v>cum</v>
          </cell>
          <cell r="I89">
            <v>16</v>
          </cell>
        </row>
        <row r="90">
          <cell r="B90">
            <v>499</v>
          </cell>
          <cell r="C90">
            <v>0</v>
          </cell>
          <cell r="D90" t="str">
            <v>a</v>
          </cell>
          <cell r="E90">
            <v>0</v>
          </cell>
          <cell r="F90" t="str">
            <v>1st &amp; 2nd Floor</v>
          </cell>
          <cell r="G90">
            <v>10</v>
          </cell>
          <cell r="H90" t="str">
            <v>sqm</v>
          </cell>
          <cell r="I90">
            <v>25</v>
          </cell>
        </row>
        <row r="91">
          <cell r="B91">
            <v>500</v>
          </cell>
          <cell r="C91">
            <v>0</v>
          </cell>
          <cell r="D91" t="str">
            <v>b</v>
          </cell>
          <cell r="E91">
            <v>0</v>
          </cell>
          <cell r="F91" t="str">
            <v>2nd &amp; 3rd Floor</v>
          </cell>
          <cell r="G91">
            <v>10</v>
          </cell>
          <cell r="H91" t="str">
            <v>sqm</v>
          </cell>
          <cell r="I91">
            <v>50</v>
          </cell>
        </row>
        <row r="92">
          <cell r="B92">
            <v>501</v>
          </cell>
          <cell r="C92">
            <v>0</v>
          </cell>
          <cell r="D92" t="str">
            <v>c</v>
          </cell>
          <cell r="E92">
            <v>0</v>
          </cell>
          <cell r="F92" t="str">
            <v>3rd &amp; 4th Floor</v>
          </cell>
          <cell r="G92">
            <v>10</v>
          </cell>
          <cell r="H92" t="str">
            <v>sqm</v>
          </cell>
          <cell r="I92">
            <v>75</v>
          </cell>
        </row>
        <row r="93">
          <cell r="B93">
            <v>502</v>
          </cell>
          <cell r="C93">
            <v>0</v>
          </cell>
          <cell r="D93" t="str">
            <v>d</v>
          </cell>
          <cell r="E93">
            <v>0</v>
          </cell>
          <cell r="F93" t="str">
            <v>Each Additional Floor</v>
          </cell>
          <cell r="G93">
            <v>10</v>
          </cell>
          <cell r="H93" t="str">
            <v>sqm</v>
          </cell>
          <cell r="I93">
            <v>18</v>
          </cell>
        </row>
        <row r="94">
          <cell r="B94">
            <v>503</v>
          </cell>
          <cell r="C94">
            <v>0</v>
          </cell>
          <cell r="D94" t="str">
            <v>a</v>
          </cell>
          <cell r="E94">
            <v>0</v>
          </cell>
          <cell r="F94" t="str">
            <v>upto 150 mm depth</v>
          </cell>
          <cell r="G94">
            <v>10</v>
          </cell>
          <cell r="H94" t="str">
            <v>sqm</v>
          </cell>
          <cell r="I94">
            <v>525</v>
          </cell>
        </row>
        <row r="95">
          <cell r="B95">
            <v>504</v>
          </cell>
          <cell r="C95">
            <v>0</v>
          </cell>
          <cell r="D95" t="str">
            <v>b</v>
          </cell>
          <cell r="E95">
            <v>0</v>
          </cell>
          <cell r="F95" t="str">
            <v>above 150 mm depth and upto 300 mm depth</v>
          </cell>
          <cell r="G95">
            <v>10</v>
          </cell>
          <cell r="H95" t="str">
            <v>sqm</v>
          </cell>
          <cell r="I95">
            <v>850</v>
          </cell>
        </row>
        <row r="96">
          <cell r="B96">
            <v>510</v>
          </cell>
          <cell r="C96">
            <v>0</v>
          </cell>
          <cell r="D96" t="str">
            <v>g</v>
          </cell>
          <cell r="E96" t="str">
            <v xml:space="preserve">i </v>
          </cell>
          <cell r="F96" t="str">
            <v>0.60 m width</v>
          </cell>
          <cell r="G96">
            <v>1</v>
          </cell>
          <cell r="H96" t="str">
            <v>rmt</v>
          </cell>
          <cell r="I96">
            <v>25</v>
          </cell>
        </row>
        <row r="97">
          <cell r="B97">
            <v>511</v>
          </cell>
          <cell r="C97">
            <v>0</v>
          </cell>
          <cell r="D97" t="str">
            <v>g</v>
          </cell>
          <cell r="E97" t="str">
            <v>ii</v>
          </cell>
          <cell r="F97" t="str">
            <v>0.80 m width</v>
          </cell>
          <cell r="G97">
            <v>1</v>
          </cell>
          <cell r="H97" t="str">
            <v>rmt</v>
          </cell>
          <cell r="I97">
            <v>30</v>
          </cell>
        </row>
        <row r="98">
          <cell r="B98">
            <v>512</v>
          </cell>
          <cell r="C98">
            <v>0</v>
          </cell>
          <cell r="D98" t="str">
            <v>g</v>
          </cell>
          <cell r="E98" t="str">
            <v>iii</v>
          </cell>
          <cell r="F98" t="str">
            <v>1.00 m width</v>
          </cell>
          <cell r="G98">
            <v>1</v>
          </cell>
          <cell r="H98" t="str">
            <v>rmt</v>
          </cell>
          <cell r="I98">
            <v>35</v>
          </cell>
        </row>
        <row r="99">
          <cell r="B99">
            <v>513</v>
          </cell>
          <cell r="C99">
            <v>0</v>
          </cell>
          <cell r="D99" t="str">
            <v>h</v>
          </cell>
          <cell r="E99">
            <v>0</v>
          </cell>
          <cell r="F99" t="str">
            <v>T.Beams</v>
          </cell>
          <cell r="G99">
            <v>1</v>
          </cell>
          <cell r="H99" t="str">
            <v>cum</v>
          </cell>
          <cell r="I99">
            <v>650</v>
          </cell>
        </row>
        <row r="100">
          <cell r="B100">
            <v>514</v>
          </cell>
          <cell r="C100">
            <v>0</v>
          </cell>
          <cell r="D100">
            <v>0</v>
          </cell>
          <cell r="E100">
            <v>0</v>
          </cell>
          <cell r="F100" t="str">
            <v>Columns, Rectangular beams, L.Beams</v>
          </cell>
          <cell r="G100">
            <v>1</v>
          </cell>
          <cell r="H100" t="str">
            <v>cum</v>
          </cell>
          <cell r="I100">
            <v>550</v>
          </cell>
        </row>
        <row r="101">
          <cell r="B101">
            <v>515</v>
          </cell>
          <cell r="C101">
            <v>0</v>
          </cell>
          <cell r="D101">
            <v>0</v>
          </cell>
          <cell r="E101">
            <v>0</v>
          </cell>
          <cell r="F101" t="str">
            <v>Templates, Bed blocks,Footings</v>
          </cell>
          <cell r="G101">
            <v>1</v>
          </cell>
          <cell r="H101" t="str">
            <v>cum</v>
          </cell>
          <cell r="I101">
            <v>330</v>
          </cell>
        </row>
        <row r="102">
          <cell r="B102">
            <v>518</v>
          </cell>
          <cell r="C102">
            <v>0</v>
          </cell>
          <cell r="D102">
            <v>0</v>
          </cell>
          <cell r="E102">
            <v>0</v>
          </cell>
          <cell r="F102" t="str">
            <v>Lintels, Plinth Beams</v>
          </cell>
          <cell r="G102">
            <v>1</v>
          </cell>
          <cell r="H102" t="str">
            <v>cum</v>
          </cell>
          <cell r="I102">
            <v>450</v>
          </cell>
        </row>
        <row r="103">
          <cell r="B103">
            <v>519</v>
          </cell>
          <cell r="C103">
            <v>0</v>
          </cell>
          <cell r="D103">
            <v>0</v>
          </cell>
          <cell r="E103">
            <v>0</v>
          </cell>
          <cell r="F103" t="str">
            <v>Slabs above 300 mm depth</v>
          </cell>
          <cell r="G103">
            <v>1</v>
          </cell>
          <cell r="H103" t="str">
            <v>cum</v>
          </cell>
          <cell r="I103">
            <v>520</v>
          </cell>
        </row>
        <row r="104">
          <cell r="B104">
            <v>521</v>
          </cell>
          <cell r="C104">
            <v>0</v>
          </cell>
          <cell r="D104" t="str">
            <v>a</v>
          </cell>
          <cell r="E104">
            <v>0</v>
          </cell>
          <cell r="F104" t="str">
            <v>For mass concrete Piers, Abutments and steining well curb well caps etc.,</v>
          </cell>
          <cell r="G104">
            <v>1</v>
          </cell>
          <cell r="H104" t="str">
            <v>cum</v>
          </cell>
          <cell r="I104">
            <v>380</v>
          </cell>
        </row>
        <row r="105">
          <cell r="B105">
            <v>522</v>
          </cell>
          <cell r="C105">
            <v>0</v>
          </cell>
          <cell r="D105">
            <v>0</v>
          </cell>
          <cell r="E105">
            <v>0</v>
          </cell>
          <cell r="F105" t="str">
            <v>For RCC Piers, Abutments, Wings, Well steining weel curbs, well Caps etc.,</v>
          </cell>
          <cell r="G105">
            <v>1</v>
          </cell>
          <cell r="H105" t="str">
            <v>cum</v>
          </cell>
          <cell r="I105">
            <v>500</v>
          </cell>
        </row>
        <row r="106">
          <cell r="B106">
            <v>523</v>
          </cell>
          <cell r="C106">
            <v>0</v>
          </cell>
          <cell r="D106">
            <v>0</v>
          </cell>
          <cell r="E106">
            <v>0</v>
          </cell>
          <cell r="F106" t="str">
            <v>For RCC Deck Slabs</v>
          </cell>
          <cell r="G106">
            <v>1</v>
          </cell>
          <cell r="H106" t="str">
            <v>cum</v>
          </cell>
          <cell r="I106">
            <v>950</v>
          </cell>
        </row>
        <row r="107">
          <cell r="B107">
            <v>524</v>
          </cell>
          <cell r="C107">
            <v>0</v>
          </cell>
          <cell r="D107">
            <v>0</v>
          </cell>
          <cell r="E107">
            <v>0</v>
          </cell>
          <cell r="F107" t="str">
            <v>For RCC beams</v>
          </cell>
          <cell r="G107">
            <v>1</v>
          </cell>
          <cell r="H107" t="str">
            <v>cum</v>
          </cell>
          <cell r="I107">
            <v>1150</v>
          </cell>
        </row>
        <row r="108">
          <cell r="B108">
            <v>525</v>
          </cell>
          <cell r="C108">
            <v>0</v>
          </cell>
          <cell r="D108">
            <v>0</v>
          </cell>
          <cell r="E108">
            <v>0</v>
          </cell>
          <cell r="F108" t="str">
            <v>RCC hand rails</v>
          </cell>
          <cell r="G108">
            <v>1</v>
          </cell>
          <cell r="H108" t="str">
            <v>cum</v>
          </cell>
          <cell r="I108">
            <v>1250</v>
          </cell>
        </row>
        <row r="109">
          <cell r="B109">
            <v>526</v>
          </cell>
          <cell r="C109">
            <v>0</v>
          </cell>
          <cell r="D109">
            <v>0</v>
          </cell>
          <cell r="E109">
            <v>0</v>
          </cell>
          <cell r="F109" t="str">
            <v>CC pavements, Wearing Coats, approach slabs guide stone JM stone etc.</v>
          </cell>
          <cell r="G109">
            <v>1</v>
          </cell>
          <cell r="H109" t="str">
            <v>cum</v>
          </cell>
          <cell r="I109">
            <v>95</v>
          </cell>
        </row>
        <row r="110">
          <cell r="B110">
            <v>555</v>
          </cell>
          <cell r="C110">
            <v>0</v>
          </cell>
          <cell r="D110" t="str">
            <v>a</v>
          </cell>
          <cell r="E110">
            <v>0</v>
          </cell>
          <cell r="F110" t="str">
            <v>250 mm dia</v>
          </cell>
          <cell r="G110">
            <v>1</v>
          </cell>
          <cell r="H110" t="str">
            <v>rmt</v>
          </cell>
          <cell r="I110">
            <v>8</v>
          </cell>
        </row>
        <row r="111">
          <cell r="B111">
            <v>556</v>
          </cell>
          <cell r="C111">
            <v>0</v>
          </cell>
          <cell r="D111" t="str">
            <v>b</v>
          </cell>
          <cell r="E111">
            <v>0</v>
          </cell>
          <cell r="F111" t="str">
            <v>300 mm dia</v>
          </cell>
          <cell r="G111">
            <v>1</v>
          </cell>
          <cell r="H111" t="str">
            <v>rmt</v>
          </cell>
          <cell r="I111">
            <v>11</v>
          </cell>
        </row>
        <row r="112">
          <cell r="B112">
            <v>557</v>
          </cell>
          <cell r="C112">
            <v>0</v>
          </cell>
          <cell r="D112" t="str">
            <v>c</v>
          </cell>
          <cell r="E112">
            <v>0</v>
          </cell>
          <cell r="F112" t="str">
            <v>450 mm dia</v>
          </cell>
          <cell r="G112">
            <v>1</v>
          </cell>
          <cell r="H112" t="str">
            <v>rmt</v>
          </cell>
          <cell r="I112">
            <v>15</v>
          </cell>
        </row>
        <row r="113">
          <cell r="B113">
            <v>558</v>
          </cell>
          <cell r="C113">
            <v>0</v>
          </cell>
          <cell r="D113" t="str">
            <v>d</v>
          </cell>
          <cell r="E113">
            <v>0</v>
          </cell>
          <cell r="F113" t="str">
            <v>600 mm dia</v>
          </cell>
          <cell r="G113">
            <v>1</v>
          </cell>
          <cell r="H113" t="str">
            <v>rmt</v>
          </cell>
          <cell r="I113">
            <v>25</v>
          </cell>
        </row>
        <row r="114">
          <cell r="B114">
            <v>559</v>
          </cell>
          <cell r="C114">
            <v>0</v>
          </cell>
          <cell r="D114" t="str">
            <v>e</v>
          </cell>
          <cell r="E114">
            <v>0</v>
          </cell>
          <cell r="F114" t="str">
            <v>750 mm dia</v>
          </cell>
          <cell r="G114">
            <v>1</v>
          </cell>
          <cell r="H114" t="str">
            <v>rmt</v>
          </cell>
          <cell r="I114">
            <v>30</v>
          </cell>
        </row>
        <row r="115">
          <cell r="B115">
            <v>560</v>
          </cell>
          <cell r="C115">
            <v>0</v>
          </cell>
          <cell r="D115" t="str">
            <v>f</v>
          </cell>
          <cell r="E115">
            <v>0</v>
          </cell>
          <cell r="F115" t="str">
            <v>800 mm dia</v>
          </cell>
          <cell r="G115">
            <v>1</v>
          </cell>
          <cell r="H115" t="str">
            <v>rmt</v>
          </cell>
          <cell r="I115">
            <v>35</v>
          </cell>
        </row>
        <row r="116">
          <cell r="B116">
            <v>561</v>
          </cell>
          <cell r="C116">
            <v>0</v>
          </cell>
          <cell r="D116" t="str">
            <v>g</v>
          </cell>
          <cell r="E116">
            <v>0</v>
          </cell>
          <cell r="F116" t="str">
            <v>1000 mm dia</v>
          </cell>
          <cell r="G116">
            <v>1</v>
          </cell>
          <cell r="H116" t="str">
            <v>rmt</v>
          </cell>
          <cell r="I116">
            <v>40</v>
          </cell>
        </row>
        <row r="117">
          <cell r="B117">
            <v>562</v>
          </cell>
          <cell r="C117">
            <v>0</v>
          </cell>
          <cell r="D117" t="str">
            <v>h</v>
          </cell>
          <cell r="E117">
            <v>0</v>
          </cell>
          <cell r="F117" t="str">
            <v>1220 mm dia</v>
          </cell>
          <cell r="G117">
            <v>1</v>
          </cell>
          <cell r="H117" t="str">
            <v>rmt</v>
          </cell>
          <cell r="I117">
            <v>50</v>
          </cell>
        </row>
        <row r="118">
          <cell r="B118">
            <v>563</v>
          </cell>
          <cell r="C118">
            <v>0</v>
          </cell>
          <cell r="D118" t="str">
            <v>a</v>
          </cell>
          <cell r="E118">
            <v>0</v>
          </cell>
          <cell r="F118" t="str">
            <v>40 mm</v>
          </cell>
          <cell r="G118">
            <v>1</v>
          </cell>
          <cell r="H118" t="str">
            <v>sqm</v>
          </cell>
          <cell r="I118">
            <v>29</v>
          </cell>
        </row>
        <row r="119">
          <cell r="B119">
            <v>564</v>
          </cell>
          <cell r="C119">
            <v>0</v>
          </cell>
          <cell r="D119" t="str">
            <v>b</v>
          </cell>
          <cell r="E119">
            <v>0</v>
          </cell>
          <cell r="F119" t="str">
            <v>50 mm</v>
          </cell>
          <cell r="G119">
            <v>1</v>
          </cell>
          <cell r="H119" t="str">
            <v>sqm</v>
          </cell>
          <cell r="I119">
            <v>31</v>
          </cell>
        </row>
        <row r="120">
          <cell r="B120">
            <v>565</v>
          </cell>
          <cell r="C120">
            <v>0</v>
          </cell>
          <cell r="D120" t="str">
            <v>c</v>
          </cell>
          <cell r="E120">
            <v>0</v>
          </cell>
          <cell r="F120" t="str">
            <v>75 mm</v>
          </cell>
          <cell r="G120">
            <v>1</v>
          </cell>
          <cell r="H120" t="str">
            <v>sqm</v>
          </cell>
          <cell r="I120">
            <v>34</v>
          </cell>
        </row>
        <row r="121">
          <cell r="B121">
            <v>566</v>
          </cell>
          <cell r="C121">
            <v>0</v>
          </cell>
          <cell r="D121" t="str">
            <v>d</v>
          </cell>
          <cell r="E121">
            <v>0</v>
          </cell>
          <cell r="F121" t="str">
            <v>100 mm</v>
          </cell>
          <cell r="G121">
            <v>1</v>
          </cell>
          <cell r="H121" t="str">
            <v>sqm</v>
          </cell>
          <cell r="I121">
            <v>36</v>
          </cell>
        </row>
        <row r="122">
          <cell r="B122">
            <v>570</v>
          </cell>
          <cell r="C122">
            <v>52</v>
          </cell>
          <cell r="D122">
            <v>0</v>
          </cell>
          <cell r="E122">
            <v>0</v>
          </cell>
          <cell r="F122" t="str">
            <v>Picking 50mm to 100mm old metalled surface and sectioning</v>
          </cell>
          <cell r="G122">
            <v>10</v>
          </cell>
          <cell r="H122" t="str">
            <v>sqm</v>
          </cell>
          <cell r="I122">
            <v>10</v>
          </cell>
        </row>
        <row r="123">
          <cell r="B123">
            <v>571</v>
          </cell>
          <cell r="C123">
            <v>53</v>
          </cell>
          <cell r="D123">
            <v>0</v>
          </cell>
          <cell r="E123">
            <v>0</v>
          </cell>
          <cell r="F123" t="str">
            <v>Picking gravelled surface 25mm deep and levelling and sectioning</v>
          </cell>
          <cell r="G123">
            <v>10</v>
          </cell>
          <cell r="H123" t="str">
            <v>sqm</v>
          </cell>
          <cell r="I123">
            <v>2.5</v>
          </cell>
        </row>
        <row r="124">
          <cell r="B124">
            <v>572</v>
          </cell>
          <cell r="C124">
            <v>54</v>
          </cell>
          <cell r="D124">
            <v>0</v>
          </cell>
          <cell r="E124">
            <v>0</v>
          </cell>
          <cell r="F124" t="str">
            <v>Picking existing BT survace and removal of chips</v>
          </cell>
          <cell r="G124">
            <v>10</v>
          </cell>
          <cell r="H124" t="str">
            <v>sqm</v>
          </cell>
          <cell r="I124">
            <v>9.5</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impRoaddam"/>
      <sheetName val="rdamdata"/>
      <sheetName val="CDdata_(2)1"/>
      <sheetName val="1v600stone"/>
      <sheetName val="2v900stone"/>
      <sheetName val="3v900stone"/>
      <sheetName val="CDdata"/>
      <sheetName val="F7hp600"/>
      <sheetName val="1v900"/>
      <sheetName val="cwaydata_(2)1"/>
      <sheetName val="LLCWay"/>
      <sheetName val="1v900stone"/>
      <sheetName val="lead-st"/>
      <sheetName val="CDdata_(3)1"/>
      <sheetName val="F7hp1v900"/>
      <sheetName val="F7hp2v900"/>
      <sheetName val="F7hp3v900"/>
      <sheetName val="Hydra"/>
      <sheetName val="CDdata_(2)"/>
      <sheetName val="cwaydata_(2)"/>
      <sheetName val="CDdata_(3)"/>
      <sheetName val="CDdata (2)"/>
      <sheetName val="cwaydata (2)"/>
      <sheetName val="CDdata (3)"/>
      <sheetName val="leads"/>
      <sheetName val="#REF"/>
      <sheetName val="v"/>
      <sheetName val="r"/>
      <sheetName val="Lead statement ss5"/>
      <sheetName val="#REF!"/>
      <sheetName val="Lead_statement_ss5"/>
      <sheetName val="Sheet1"/>
      <sheetName val="lead_st"/>
      <sheetName val="BS8007"/>
      <sheetName val="DATA"/>
      <sheetName val="Rates"/>
      <sheetName val="Road data"/>
      <sheetName val="Deck Slab"/>
      <sheetName val="Lead statement"/>
      <sheetName val="SSR 2014-15 Rates"/>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Data-ELSR"/>
      <sheetName val="Mortars"/>
      <sheetName val="Labour"/>
      <sheetName val="Common "/>
      <sheetName val="Usage"/>
      <sheetName val="General"/>
      <sheetName val="hdpe_basic"/>
      <sheetName val="pvc_basic"/>
      <sheetName val="HDPE"/>
      <sheetName val="DI"/>
      <sheetName val="pvc"/>
      <sheetName val="CD works"/>
      <sheetName val="data-WC"/>
      <sheetName val="MRATES"/>
      <sheetName val="DATA-BASE"/>
      <sheetName val="DATA-ABSTRACT"/>
      <sheetName val="ABS"/>
      <sheetName val="Data.F8.BTR"/>
      <sheetName val="mlead"/>
      <sheetName val="1V800"/>
      <sheetName val="Lead"/>
      <sheetName val="SUMP1420KL@HW"/>
      <sheetName val="Sheet2"/>
      <sheetName val="Material"/>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Cover Pag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heet11"/>
      <sheetName val="Conveyance"/>
      <sheetName val="Sp. Rep. (2)"/>
      <sheetName val="Work done"/>
      <sheetName val="Completion"/>
      <sheetName val="Conv"/>
      <sheetName val="New lead2"/>
      <sheetName val="CD-DAta"/>
      <sheetName val="Base Course "/>
      <sheetName val="Sheet3"/>
      <sheetName val="Sheet5"/>
      <sheetName val="Sheet18"/>
      <sheetName val="Sheet19"/>
      <sheetName val="coverpage"/>
      <sheetName val="DATA_PRG"/>
      <sheetName val="Main sheet"/>
      <sheetName val="Quotes"/>
      <sheetName val="abs road"/>
      <sheetName val="RMR"/>
      <sheetName val="work_sheet"/>
      <sheetName val="Summary"/>
      <sheetName val="BALAN1"/>
      <sheetName val="Levels"/>
      <sheetName val="final abstract"/>
      <sheetName val="Plant &amp;  Machinery"/>
      <sheetName val="clvrt_data"/>
      <sheetName val="m"/>
      <sheetName val="bom"/>
      <sheetName val="MRoad data"/>
      <sheetName val="sand"/>
      <sheetName val="stone"/>
      <sheetName val="index"/>
      <sheetName val="Boq"/>
      <sheetName val="CDdata_(2)6"/>
      <sheetName val="cwaydata_(2)6"/>
      <sheetName val="CDdata_(3)6"/>
      <sheetName val="Lead_statement_ss54"/>
      <sheetName val="Common_"/>
      <sheetName val="Lead_statement"/>
      <sheetName val="CD_works"/>
      <sheetName val="Road_data"/>
      <sheetName val="maya"/>
      <sheetName val="INPUT"/>
      <sheetName val="Quarry"/>
      <sheetName val="Detailed Estimate"/>
      <sheetName val="Cover"/>
      <sheetName val="segments-details"/>
      <sheetName val="habs-list"/>
      <sheetName val="int-Dia-hdpe"/>
      <sheetName val="int-Dia-pvc"/>
      <sheetName val="Valves"/>
      <sheetName val="MS Rates"/>
      <sheetName val="C.D.Abs.Est."/>
      <sheetName val="t_prsr"/>
      <sheetName val="id"/>
      <sheetName val="ONLINE DUMP"/>
      <sheetName val="sancdump"/>
      <sheetName val="wh_data"/>
      <sheetName val="CPHEEO"/>
      <sheetName val="wh_data_R"/>
      <sheetName val="wh"/>
      <sheetName val="PVC_dia"/>
      <sheetName val="Rate"/>
      <sheetName val="Sheet1 (2)"/>
      <sheetName val="BTR"/>
      <sheetName val="HDPE-pipe-rates"/>
      <sheetName val="pvc-pipe-rates"/>
      <sheetName val="detls"/>
      <sheetName val="PRECAST lightconc-II"/>
      <sheetName val="Road Detail Est."/>
      <sheetName val="DISCOUNT"/>
      <sheetName val="JAWAHAR-hyd-original"/>
      <sheetName val="PROCTOR"/>
      <sheetName val="DATA-2005-06"/>
      <sheetName val="civil-works"/>
      <sheetName val=" Data -Valves"/>
      <sheetName val="04REL"/>
      <sheetName val="Format-A (B)"/>
      <sheetName val="Format-A"/>
      <sheetName val="Format-A (HQ)"/>
      <sheetName val="Sheet2 (2)"/>
      <sheetName val="Format-A (S)"/>
      <sheetName val="PH data"/>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FACE"/>
      <sheetName val="CC Road"/>
      <sheetName val="Census_of_India_2001"/>
      <sheetName val="rate analysis "/>
      <sheetName val="INPUT-DATA"/>
      <sheetName val="Pier Design(with offset)"/>
      <sheetName val="Relig-place"/>
      <sheetName val="Check List"/>
      <sheetName val="Recovery"/>
      <sheetName val="HYDRAULICS"/>
      <sheetName val="Designs"/>
      <sheetName val="DataInput"/>
      <sheetName val="DataInput-1"/>
      <sheetName val="DI Rate Analysis"/>
      <sheetName val="Economic RisingMain  Ph-I"/>
      <sheetName val="1-Pop Proj"/>
      <sheetName val="Sheet3-1"/>
      <sheetName val="LIST"/>
      <sheetName val="Area Sheet NO 1"/>
      <sheetName val="N- Ward Codes"/>
      <sheetName val="STAMT"/>
      <sheetName val="data existing_do not delete"/>
      <sheetName val="CONNECT"/>
      <sheetName val="WTP-Pr"/>
      <sheetName val="EDWise"/>
      <sheetName val="slab"/>
      <sheetName val="DREV"/>
      <sheetName val="CREV"/>
      <sheetName val="Sheet9"/>
      <sheetName val="LLEGADA"/>
      <sheetName val="app2"/>
      <sheetName val="AV-HDPE"/>
      <sheetName val="Di_gate-HDPE"/>
      <sheetName val="R_Det"/>
      <sheetName val="habcodes"/>
      <sheetName val="SubAnlysis"/>
      <sheetName val="SubAnalysis"/>
      <sheetName val="Sketch"/>
      <sheetName val="Sanction dump"/>
      <sheetName val="data_sein"/>
      <sheetName val="civ data"/>
    </sheetNames>
    <sheetDataSet>
      <sheetData sheetId="0">
        <row r="6">
          <cell r="J6">
            <v>336.1</v>
          </cell>
        </row>
      </sheetData>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6">
          <cell r="J6">
            <v>336.1</v>
          </cell>
        </row>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ow r="1">
          <cell r="B1">
            <v>0</v>
          </cell>
        </row>
      </sheetData>
      <sheetData sheetId="37">
        <row r="1">
          <cell r="B1">
            <v>0</v>
          </cell>
        </row>
      </sheetData>
      <sheetData sheetId="38">
        <row r="1">
          <cell r="B1">
            <v>0</v>
          </cell>
        </row>
      </sheetData>
      <sheetData sheetId="39">
        <row r="1">
          <cell r="B1">
            <v>0</v>
          </cell>
        </row>
      </sheetData>
      <sheetData sheetId="40">
        <row r="1">
          <cell r="B1">
            <v>0</v>
          </cell>
        </row>
      </sheetData>
      <sheetData sheetId="41">
        <row r="1">
          <cell r="B1">
            <v>0</v>
          </cell>
        </row>
      </sheetData>
      <sheetData sheetId="42">
        <row r="1">
          <cell r="B1">
            <v>0</v>
          </cell>
        </row>
      </sheetData>
      <sheetData sheetId="43">
        <row r="1">
          <cell r="B1">
            <v>0</v>
          </cell>
        </row>
      </sheetData>
      <sheetData sheetId="44">
        <row r="1">
          <cell r="B1">
            <v>0</v>
          </cell>
        </row>
      </sheetData>
      <sheetData sheetId="45">
        <row r="1">
          <cell r="B1">
            <v>0</v>
          </cell>
        </row>
      </sheetData>
      <sheetData sheetId="46">
        <row r="1">
          <cell r="B1">
            <v>0</v>
          </cell>
        </row>
      </sheetData>
      <sheetData sheetId="47">
        <row r="1">
          <cell r="B1">
            <v>0</v>
          </cell>
        </row>
      </sheetData>
      <sheetData sheetId="48">
        <row r="1">
          <cell r="B1">
            <v>0</v>
          </cell>
        </row>
      </sheetData>
      <sheetData sheetId="49">
        <row r="1">
          <cell r="B1">
            <v>0</v>
          </cell>
        </row>
      </sheetData>
      <sheetData sheetId="50">
        <row r="1">
          <cell r="B1">
            <v>0</v>
          </cell>
        </row>
      </sheetData>
      <sheetData sheetId="51" refreshError="1"/>
      <sheetData sheetId="52" refreshError="1"/>
      <sheetData sheetId="53" refreshError="1"/>
      <sheetData sheetId="54" refreshError="1"/>
      <sheetData sheetId="55" refreshError="1"/>
      <sheetData sheetId="56">
        <row r="1">
          <cell r="B1">
            <v>0</v>
          </cell>
        </row>
      </sheetData>
      <sheetData sheetId="57">
        <row r="1">
          <cell r="B1">
            <v>0</v>
          </cell>
        </row>
      </sheetData>
      <sheetData sheetId="58">
        <row r="1">
          <cell r="B1">
            <v>0</v>
          </cell>
        </row>
      </sheetData>
      <sheetData sheetId="59">
        <row r="1">
          <cell r="B1">
            <v>0</v>
          </cell>
        </row>
      </sheetData>
      <sheetData sheetId="60">
        <row r="1">
          <cell r="B1">
            <v>0</v>
          </cell>
        </row>
      </sheetData>
      <sheetData sheetId="61">
        <row r="1">
          <cell r="B1">
            <v>0</v>
          </cell>
        </row>
      </sheetData>
      <sheetData sheetId="62">
        <row r="1">
          <cell r="B1">
            <v>0</v>
          </cell>
        </row>
      </sheetData>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DATA"/>
      <sheetName val="2V_3M_SLAB (2)"/>
      <sheetName val="RD_X"/>
      <sheetName val="ROAD_DAM_100M"/>
      <sheetName val="RD_100M"/>
      <sheetName val="CC_WC"/>
      <sheetName val="RD_VENTES"/>
      <sheetName val="rdamdata"/>
      <sheetName val="r"/>
      <sheetName val="Lead"/>
      <sheetName val="floor slab-RS2"/>
      <sheetName val="Labour"/>
      <sheetName val="leads"/>
      <sheetName val="Material"/>
      <sheetName val="Plant &amp;  Machinery"/>
      <sheetName val="HDPE"/>
      <sheetName val="DI"/>
      <sheetName val="pvc"/>
      <sheetName val="hdpe_basic"/>
      <sheetName val="pvc_basic"/>
      <sheetName val="v"/>
      <sheetName val="data-WC"/>
    </sheetNames>
    <sheetDataSet>
      <sheetData sheetId="0">
        <row r="20">
          <cell r="H20">
            <v>4</v>
          </cell>
        </row>
        <row r="22">
          <cell r="B22">
            <v>0</v>
          </cell>
        </row>
      </sheetData>
      <sheetData sheetId="1"/>
      <sheetData sheetId="2" refreshError="1"/>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mpp"/>
      <sheetName val="data_new"/>
      <sheetName val="lead-st"/>
      <sheetName val="v"/>
      <sheetName val="r"/>
      <sheetName val="l"/>
      <sheetName val="Lead"/>
      <sheetName val="DATA"/>
      <sheetName val="data existing_do not delete"/>
      <sheetName val="Material"/>
      <sheetName val="Works"/>
      <sheetName val="RMR"/>
      <sheetName val="General"/>
      <sheetName val="Data.F8.BTR"/>
      <sheetName val="leads"/>
      <sheetName val="rdamdata"/>
      <sheetName val="t_prsr"/>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Plant &amp;  Machinery"/>
      <sheetName val="Data_F8_BTR"/>
      <sheetName val="Plant_&amp;__Machinery"/>
      <sheetName val="Labour"/>
      <sheetName val="maya"/>
      <sheetName val="Lɥad"/>
      <sheetName val="Specification"/>
      <sheetName val="Data_F8_BTR2"/>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F8_BTR1"/>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Specification report"/>
      <sheetName val="HDPE"/>
      <sheetName val="DI"/>
      <sheetName val="pvc"/>
      <sheetName val="Estimate "/>
      <sheetName val="Sheet1"/>
      <sheetName val="DATA_PRG"/>
      <sheetName val="banilad"/>
      <sheetName val="SECPROP"/>
      <sheetName val="CABLENOS."/>
      <sheetName val="Lead statement ss5"/>
      <sheetName val="Main sheet"/>
      <sheetName val="Sheet5"/>
      <sheetName val="ABS"/>
      <sheetName val="wh"/>
      <sheetName val="final abstract"/>
      <sheetName val="Valves"/>
      <sheetName val="hdpe_basic"/>
      <sheetName val="pvc_basic"/>
      <sheetName val="Bed Class"/>
      <sheetName val="CPIPE"/>
      <sheetName val="CPIPE2"/>
      <sheetName val="Cs"/>
      <sheetName val="DVALUE"/>
      <sheetName val="THK"/>
      <sheetName val="Cd"/>
      <sheetName val="SewerCAD MH Data"/>
      <sheetName val="Design 2040 Design Flows-(1)"/>
      <sheetName val="SewerCAD Pipe Data-Actual 2040"/>
      <sheetName val="CONNECT"/>
      <sheetName val="analysis"/>
      <sheetName val="SALIENT"/>
      <sheetName val="foundation(V)"/>
      <sheetName val="Data-2011-12"/>
      <sheetName val="DL CAL"/>
      <sheetName val="slab"/>
      <sheetName val="Flanged Beams"/>
      <sheetName val="Rectangular Beam"/>
      <sheetName val="Mactan"/>
      <sheetName val="Mandaue"/>
      <sheetName val="C.D.Abs.Est."/>
      <sheetName val="Interface_SC"/>
      <sheetName val="Calc_ISC"/>
      <sheetName val="Calc_SC"/>
      <sheetName val="Interface_ISC"/>
      <sheetName val="GD"/>
      <sheetName val="Cover"/>
      <sheetName val="Convey"/>
      <sheetName val="Rates"/>
      <sheetName val="C-data"/>
      <sheetName val="Lead_statement_ss5"/>
      <sheetName val="clvrt_data"/>
      <sheetName val="ssr-rates"/>
      <sheetName val="Plant 㫨  Machinery"/>
      <sheetName val="Plant_㫨__Machinery"/>
      <sheetName val="Rates-May-14"/>
      <sheetName val="TOP SLAB-beams"/>
      <sheetName val="int-Dia-pvc"/>
      <sheetName val="20kL-design-final"/>
      <sheetName val="BM-HOOP"/>
      <sheetName val="Input"/>
      <sheetName val="bundqty"/>
      <sheetName val="Data-ELSR"/>
      <sheetName val="Sheet2"/>
      <sheetName val="sup dat"/>
      <sheetName val="Usage"/>
      <sheetName val="wh_data"/>
      <sheetName val="wh_data_R"/>
      <sheetName val="CPHEEO"/>
      <sheetName val="GF SB Ok "/>
      <sheetName val="gen"/>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BWSCPlt"/>
      <sheetName val="CI"/>
      <sheetName val="G.R.P"/>
      <sheetName val="PSC REVISED"/>
      <sheetName val="TBAL9697 -group wise  sdpl"/>
      <sheetName val="p&amp;m"/>
      <sheetName val="Staff Acco."/>
      <sheetName val="Boq"/>
      <sheetName val="HDPE-pipe-rates"/>
      <sheetName val="pvc-pipe-rates"/>
      <sheetName val="Bill-12"/>
      <sheetName val="detailed"/>
      <sheetName val="PROCTOR"/>
      <sheetName val="Data_F8_BTR3"/>
      <sheetName val="Plant_&amp;__Machinery3"/>
      <sheetName val="Lead_statement_ss53"/>
      <sheetName val="Plant_&amp;__Machinery1"/>
      <sheetName val="Lead_statement_ss51"/>
      <sheetName val="Plant_&amp;__Machinery2"/>
      <sheetName val="Lead_statement_ss52"/>
      <sheetName val="Nspt-smp-final-ORIGINAL"/>
      <sheetName val="water-hammar-strenght"/>
      <sheetName val="hdpe weights"/>
      <sheetName val="PVC weights"/>
      <sheetName val="0000000000000"/>
      <sheetName val="SSR"/>
      <sheetName val="VC 80"/>
      <sheetName val="VC 450"/>
      <sheetName val="PH data"/>
      <sheetName val="Delivery mains"/>
      <sheetName val="CONST"/>
      <sheetName val="Common "/>
      <sheetName val="Ins &amp; Bonds"/>
      <sheetName val="A-3.1"/>
      <sheetName val="Client req"/>
      <sheetName val="MRoad data"/>
      <sheetName val="detls"/>
      <sheetName val="Sheet3"/>
      <sheetName val="Sheet1 (2)"/>
      <sheetName val="wt of CID joint"/>
      <sheetName val="AC DAta"/>
      <sheetName val="Pipe Pilne MAch"/>
      <sheetName val="Sheet4"/>
      <sheetName val="Indurhty"/>
      <sheetName val="Indurhty 2016-17"/>
      <sheetName val="2"/>
      <sheetName val="3"/>
      <sheetName val="Tees"/>
      <sheetName val="PUMP_DATA"/>
      <sheetName val="Quarry"/>
      <sheetName val="Line"/>
      <sheetName val="BTR"/>
      <sheetName val="CRUST"/>
      <sheetName val="QDTS"/>
      <sheetName val="Abs_CD_2"/>
      <sheetName val="road est"/>
      <sheetName val="ECV"/>
      <sheetName val="Design"/>
      <sheetName val="FORM-W3"/>
      <sheetName val="index"/>
      <sheetName val="Cash2"/>
      <sheetName val="other rates"/>
      <sheetName val="MTC-estimate"/>
      <sheetName val="Gen Abs"/>
      <sheetName val="Data_Base"/>
      <sheetName val="Work_sheet"/>
      <sheetName val="SUMP1420KL@HW"/>
      <sheetName val="Admin"/>
      <sheetName val="Rates SSR 2008-09"/>
      <sheetName val="RWS"/>
      <sheetName val="Entry"/>
      <sheetName val="BOQ (2)"/>
      <sheetName val="DATA SHEET"/>
      <sheetName val="ANAL-PIPE LINE"/>
      <sheetName val="MS Pipe Working"/>
      <sheetName val="civ data"/>
      <sheetName val="650kL-design-final"/>
      <sheetName val="_5wgdhabfinal00_01"/>
      <sheetName val="SPT vs PHI"/>
      <sheetName val="PS1"/>
      <sheetName val="Code"/>
      <sheetName val="Pop"/>
      <sheetName val="Main"/>
      <sheetName val="QTY-CRUST-SR"/>
      <sheetName val="CROSS-SECTION"/>
      <sheetName val="QTY-CRUST-MCW"/>
      <sheetName val="hyperstatic-3"/>
      <sheetName val="Data o"/>
      <sheetName val="Bed Fall"/>
      <sheetName val="Title"/>
      <sheetName val="Ventway Calculations"/>
      <sheetName val="VI Floor Beam "/>
      <sheetName val="Boq Block A"/>
      <sheetName val="data_existing_do_not_delete3"/>
      <sheetName val="Bitumen_trunk3"/>
      <sheetName val="R99_etc3"/>
      <sheetName val="Trunk_unpaved3"/>
      <sheetName val="abs_road3"/>
      <sheetName val="Road_data3"/>
      <sheetName val="Class_IV_Qtr__Ele3"/>
      <sheetName val="Bridge_Data_2005-063"/>
      <sheetName val="Lead_statement3"/>
      <sheetName val="GROUND_FLOOR3"/>
      <sheetName val="Estimate_"/>
      <sheetName val="Specification_report"/>
      <sheetName val="1-Pop_Proj"/>
      <sheetName val="CABLENOS_"/>
      <sheetName val="Main_sheet"/>
      <sheetName val="Road Detail Est."/>
      <sheetName val="TS memo"/>
      <sheetName val="Lookup"/>
      <sheetName val="MS Rates"/>
      <sheetName val="CPIPE 1"/>
      <sheetName val="ewst"/>
      <sheetName val="Suppl-data"/>
      <sheetName val="MASTER"/>
      <sheetName val="rmr "/>
      <sheetName val="road data "/>
      <sheetName val="Elect."/>
      <sheetName val="Transfer"/>
      <sheetName val="PS Data"/>
      <sheetName val="GP_Hab"/>
      <sheetName val="NameInput"/>
      <sheetName val="Rates InPut SSR"/>
      <sheetName val="E.I. ESTIMATE"/>
      <sheetName val="EXTERNAL E.I."/>
      <sheetName val="E.I. DATAS"/>
      <sheetName val="Comparative Statement"/>
      <sheetName val="PANEL DATAS"/>
      <sheetName val="Inv"/>
      <sheetName val="Report (2)"/>
      <sheetName val="Sanitary Datas 2020-21"/>
      <sheetName val="san-abs"/>
      <sheetName val="gen-ab"/>
      <sheetName val="gfloor"/>
      <sheetName val="FF"/>
      <sheetName val="Terrace"/>
      <sheetName val="GF Det-Est"/>
      <sheetName val="FF DET"/>
      <sheetName val="tf dET"/>
      <sheetName val="DATA1"/>
      <sheetName val="saniraty-det"/>
      <sheetName val="NOPRINT"/>
      <sheetName val="doors"/>
      <sheetName val="Report"/>
      <sheetName val="SH"/>
      <sheetName val="MDRs"/>
      <sheetName val="Annexure III"/>
      <sheetName val="Annexure I"/>
      <sheetName val="TOS-F"/>
      <sheetName val="Leads Entry"/>
      <sheetName val="concrete"/>
      <sheetName val="Hire"/>
      <sheetName val="GF Columns"/>
      <sheetName val="DISCOUNT"/>
      <sheetName val="Global factors"/>
      <sheetName val="Weightage-Sub Sht"/>
      <sheetName val="OH"/>
      <sheetName val="Basic Rates"/>
      <sheetName val="beam-reinft"/>
      <sheetName val="WT AVG LEAD"/>
      <sheetName val="COST"/>
      <sheetName val="II&amp;Part"/>
      <sheetName val="List"/>
      <sheetName val="Road"/>
      <sheetName val="Drain"/>
      <sheetName val="Mortars"/>
      <sheetName val=" Data -Valves"/>
      <sheetName val="(4)F-81 Exp.side"/>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HYDRAULICS"/>
      <sheetName val="Check List"/>
      <sheetName val="Recovery"/>
      <sheetName val="CC Road"/>
      <sheetName val="Census_of_India_2001"/>
      <sheetName val="rate analysis "/>
      <sheetName val="DataInput"/>
      <sheetName val="DataInput-1"/>
      <sheetName val="DI Rate Analysis"/>
      <sheetName val="Economic RisingMain  Ph-I"/>
      <sheetName val="BASE_ALL"/>
      <sheetName val="Area Sheet NO 1"/>
      <sheetName val="Designs"/>
      <sheetName val="INPUT-DATA"/>
      <sheetName val="Design of two-way slab"/>
      <sheetName val="FACE"/>
      <sheetName val="STAMT"/>
      <sheetName val="Pier Design(with offset)"/>
      <sheetName val="WTP-Pr"/>
      <sheetName val="Sheet9"/>
      <sheetName val="Form_E6"/>
      <sheetName val="E8"/>
      <sheetName val="E11"/>
      <sheetName val="DREV"/>
      <sheetName val="CREV"/>
      <sheetName val="DESBASTE"/>
      <sheetName val="NEW "/>
      <sheetName val="Sheet3-1"/>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0000000000000"/>
      <sheetName val="1000000000000"/>
      <sheetName val="coverpage"/>
      <sheetName val="TS memo"/>
      <sheetName val="Spn report"/>
      <sheetName val="BTR"/>
      <sheetName val="RMR"/>
      <sheetName val="Road data"/>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s>
    <sheetDataSet>
      <sheetData sheetId="0"/>
      <sheetData sheetId="1"/>
      <sheetData sheetId="2"/>
      <sheetData sheetId="3"/>
      <sheetData sheetId="4"/>
      <sheetData sheetId="5"/>
      <sheetData sheetId="6">
        <row r="21">
          <cell r="L21">
            <v>931.346</v>
          </cell>
        </row>
        <row r="23">
          <cell r="L23">
            <v>703.64600000000007</v>
          </cell>
        </row>
        <row r="25">
          <cell r="L25">
            <v>224.46899999999999</v>
          </cell>
        </row>
        <row r="29">
          <cell r="F29">
            <v>2400</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0000000000000"/>
      <sheetName val="XXXXXXXXXXXXX"/>
      <sheetName val="XXXXXXXXXXXX0"/>
      <sheetName val="est(mord)"/>
      <sheetName val="data"/>
      <sheetName val="Lead statement ss5"/>
      <sheetName val="Lead statement -IRC"/>
      <sheetName val="Conveyance"/>
      <sheetName val="maya"/>
    </sheetNames>
    <sheetDataSet>
      <sheetData sheetId="0"/>
      <sheetData sheetId="1"/>
      <sheetData sheetId="2"/>
      <sheetData sheetId="3"/>
      <sheetData sheetId="4"/>
      <sheetData sheetId="5">
        <row r="26">
          <cell r="C26">
            <v>6.5000000000000002E-2</v>
          </cell>
        </row>
        <row r="28">
          <cell r="C28">
            <v>0.06</v>
          </cell>
        </row>
      </sheetData>
      <sheetData sheetId="6"/>
      <sheetData sheetId="7"/>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0000000000000"/>
      <sheetName val="XXXXXXXXXXXXX"/>
      <sheetName val="XXXXXXXXXXXX0"/>
      <sheetName val="est(mord)"/>
      <sheetName val="data"/>
      <sheetName val="Lead statement ss5"/>
      <sheetName val="Lead statement -IRC"/>
      <sheetName val="Conveyance"/>
    </sheetNames>
    <sheetDataSet>
      <sheetData sheetId="0"/>
      <sheetData sheetId="1"/>
      <sheetData sheetId="2"/>
      <sheetData sheetId="3"/>
      <sheetData sheetId="4"/>
      <sheetData sheetId="5">
        <row r="26">
          <cell r="C26">
            <v>6.5000000000000002E-2</v>
          </cell>
        </row>
        <row r="28">
          <cell r="C28">
            <v>0.06</v>
          </cell>
        </row>
      </sheetData>
      <sheetData sheetId="6"/>
      <sheetData sheetId="7"/>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Sheet4"/>
      <sheetName val="Main sheet"/>
      <sheetName val="GA-Total.."/>
      <sheetName val="GA-Total-New"/>
      <sheetName val="GA-old"/>
      <sheetName val="GA-10-3-16"/>
      <sheetName val="MJP"/>
      <sheetName val="MH-Z-1-17216"/>
      <sheetName val="Zone-1-Guntur-"/>
      <sheetName val="MH-Z-3"/>
      <sheetName val="Zone-3-Guntur-"/>
      <sheetName val="MH-Z-4-17216"/>
      <sheetName val="Zone-4-Guntur-"/>
      <sheetName val="MH-Z-5-17216"/>
      <sheetName val="Zone-5-Guntur-"/>
      <sheetName val="MH-Z-6-17216 "/>
      <sheetName val="Zone-6-Guntur-"/>
      <sheetName val="MH-Z-7-17216"/>
      <sheetName val="Zone-7-Guntur-"/>
      <sheetName val="250mm-P.Main-Z-VI"/>
      <sheetName val="Reception well-STP-1"/>
      <sheetName val="Inspection chambers"/>
      <sheetName val="Sewer-HSC"/>
      <sheetName val="Inspection chamber-1"/>
      <sheetName val="MJP -2 "/>
      <sheetName val="Compare-Est"/>
      <sheetName val="Compare- Pipes"/>
      <sheetName val="SBR-Est"/>
      <sheetName val="AP-Total SSR-15-16"/>
      <sheetName val="C-Mat. Final"/>
      <sheetName val="Mortars,"/>
      <sheetName val="data- Reception well"/>
      <sheetName val="data- Sewer -Final"/>
      <sheetName val="250mm-P.Main-Z-VI (2)"/>
      <sheetName val="data-MH"/>
      <sheetName val="data-Bld-15-16"/>
      <sheetName val="data-HDPE &amp; PVC pipes"/>
      <sheetName val="data-RCC-PE &amp; SS-SRC cement."/>
      <sheetName val="Pipes &amp; Valves-15-16"/>
      <sheetName val="DI &amp; MS pipes"/>
      <sheetName val="DI&amp; CI-Spe-1"/>
      <sheetName val="labour&amp; Hire-15-16"/>
      <sheetName val="C-Mat-R&amp;B"/>
      <sheetName val="Convey -15-16"/>
      <sheetName val="Lead-15-16"/>
      <sheetName val="Cent'g--15-16"/>
      <sheetName val="MH -0.90m dia-"/>
      <sheetName val="MH -1.20m dia"/>
      <sheetName val="MH -1.5m dia- 2.30 to 3m"/>
      <sheetName val="MH-est -1.5m-3 to 5m"/>
      <sheetName val="MH-est -1.5m-5 to 9m."/>
      <sheetName val="MH-est -1.8m-3 to 5m"/>
      <sheetName val="MH-est -2.0m-3 to 5m"/>
      <sheetName val="MH-est -2m-5 to 9m."/>
      <sheetName val="Valves-15-16"/>
      <sheetName val="Wt.of DI Spe."/>
      <sheetName val="data-Lowering"/>
      <sheetName val="EWE &amp; BT Roads-"/>
      <sheetName val="Est-Flow meters"/>
      <sheetName val="Data-Flow meters"/>
      <sheetName val="Compare-Flow meters"/>
      <sheetName val="7Mld"/>
      <sheetName val="22 MLD"/>
      <sheetName val="9 MLD"/>
      <sheetName val="41 MLD"/>
      <sheetName val="43 MLD"/>
      <sheetName val="Sheet2"/>
      <sheetName val="Sheet3"/>
      <sheetName val="O &amp; M data"/>
      <sheetName val="Summary"/>
      <sheetName val="Sheet1"/>
    </sheetNames>
    <sheetDataSet>
      <sheetData sheetId="0"/>
      <sheetData sheetId="1">
        <row r="4">
          <cell r="C4">
            <v>0.25</v>
          </cell>
        </row>
        <row r="59">
          <cell r="C59">
            <v>0.13614999999999999</v>
          </cell>
        </row>
        <row r="60">
          <cell r="C60">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271">
          <cell r="H271">
            <v>71.600000000000009</v>
          </cell>
        </row>
      </sheetData>
      <sheetData sheetId="35">
        <row r="1667">
          <cell r="H1667">
            <v>122.05</v>
          </cell>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Data_F8_BTR"/>
      <sheetName val="lead-st"/>
      <sheetName val="rdamdata"/>
      <sheetName val="Cover-MEstt_"/>
      <sheetName val="ABST(PART_B)_"/>
      <sheetName val="F6-Gnrl_Abstrt"/>
      <sheetName val="sub-data_"/>
      <sheetName val="sub_estt"/>
      <sheetName val="DATA-BASE"/>
      <sheetName val="DATA-ABSTRACT"/>
      <sheetName val="SPT vs PHI"/>
      <sheetName val="r"/>
      <sheetName val="Work_sheet"/>
      <sheetName val="Common "/>
      <sheetName val="Lead statement ss5"/>
      <sheetName val="Cover-MEstt_1"/>
      <sheetName val="ABST(PART_B)_1"/>
      <sheetName val="F6-Gnrl_Abstrt1"/>
      <sheetName val="sub-data_1"/>
      <sheetName val="Data_F8_BTR1"/>
      <sheetName val="sub_estt1"/>
      <sheetName val="Common_"/>
      <sheetName val="MRATES"/>
      <sheetName val="DATA_PRG"/>
      <sheetName val="Material"/>
      <sheetName val="Plant &amp;  Machinery"/>
      <sheetName val="m"/>
      <sheetName val="segments-details"/>
      <sheetName val="int-Dia-hdpe"/>
      <sheetName val="habs-list"/>
      <sheetName val="int-Dia-pvc"/>
      <sheetName val="PUMP_DATA"/>
      <sheetName val="Lead statement"/>
      <sheetName val="DATA"/>
      <sheetName val="Road data"/>
      <sheetName val="mlead"/>
      <sheetName val="abs road"/>
      <sheetName val="R_Det"/>
      <sheetName val="Works"/>
      <sheetName val="RMR"/>
      <sheetName val="General"/>
      <sheetName val="v"/>
      <sheetName val="t_prsr"/>
      <sheetName val="id"/>
      <sheetName val="wh_data"/>
      <sheetName val="wh_data_R"/>
      <sheetName val="CPHEEO"/>
      <sheetName val="input"/>
      <sheetName val="Class IV Qtr. Ele"/>
      <sheetName val="coverpage"/>
      <sheetName val="Levels"/>
      <sheetName val="leads"/>
      <sheetName val="CI"/>
      <sheetName val="DI"/>
      <sheetName val="G.R.P"/>
      <sheetName val="HDPE"/>
      <sheetName val="PSC REVISED"/>
      <sheetName val="pvc"/>
      <sheetName val="GROUND FLOOR"/>
      <sheetName val="F6-Est4"/>
      <sheetName val="nodes"/>
      <sheetName val="int-Dia"/>
      <sheetName val="JAWAHAR-hyd-original"/>
      <sheetName val="LS"/>
      <sheetName val="maya"/>
      <sheetName val="Cover"/>
      <sheetName val="Bridge Data 2005-06"/>
      <sheetName val="Rate"/>
      <sheetName val="PM&amp;GM"/>
      <sheetName val="AV-PVC"/>
      <sheetName val="DI gate-DI"/>
      <sheetName val="DIgate_PVC "/>
      <sheetName val="sg-clay(d)"/>
      <sheetName val="BWSCPlt"/>
      <sheetName val="Bitumen trunk"/>
      <sheetName val="Feeder"/>
      <sheetName val="R99 etc"/>
      <sheetName val="Trunk unpaved"/>
      <sheetName val="sub-dapa "/>
      <sheetName val="Plant 㫨  Machinery"/>
      <sheetName val="Data 07-08 "/>
      <sheetName val="SUMP1420KL@HW"/>
      <sheetName val="Sheet2"/>
      <sheetName val="Specification"/>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SSR 2015-16"/>
      <sheetName val="DATA SHEET FOR 2012 - 13"/>
      <sheetName val="Main sheet"/>
      <sheetName val="Rates"/>
      <sheetName val="DATA_ENTRY"/>
      <sheetName val="Data-ELSR"/>
      <sheetName val="Nspt-smp-final-ORIGINAL"/>
      <sheetName val="ABS"/>
      <sheetName val="zone-8"/>
      <sheetName val="MHNO_LEV"/>
      <sheetName val=" Data -Valves"/>
      <sheetName val="CPI"/>
      <sheetName val="WPI C"/>
      <sheetName val="WPI all"/>
      <sheetName val="WPI HM"/>
      <sheetName val="WPI S"/>
      <sheetName val="Sorted"/>
      <sheetName val="PLAN_FEB97"/>
      <sheetName val="1V800"/>
      <sheetName val="Rd.Est"/>
      <sheetName val="hdpe_basic"/>
      <sheetName val="pvc_basic"/>
      <sheetName val="Data rough"/>
      <sheetName val="Convey"/>
      <sheetName val="gen"/>
      <sheetName val="Cover-MEstt_2"/>
      <sheetName val="ABST(PART_B)_2"/>
      <sheetName val="F6-Gnrl_Abstrt2"/>
      <sheetName val="sub-data_2"/>
      <sheetName val="Data_F8_BTR2"/>
      <sheetName val="sub_estt2"/>
      <sheetName val="Common_1"/>
      <sheetName val="Lead_statement_ss5"/>
      <sheetName val="G_R_P"/>
      <sheetName val="PSC_REVISED"/>
      <sheetName val="Plant_&amp;__Machinery"/>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Lead Distance"/>
      <sheetName val="bundqty"/>
      <sheetName val="Mortars"/>
      <sheetName val="habs-details"/>
      <sheetName val="hab-details"/>
      <sheetName val="WATER-HAMMER"/>
      <sheetName val="20kL-design-final"/>
      <sheetName val="wh"/>
      <sheetName val="AV-HDPE"/>
      <sheetName val="Di_gate-HDPE"/>
      <sheetName val="Sheet9"/>
      <sheetName val="ESTIMATE"/>
      <sheetName val="Lead_statement"/>
      <sheetName val="Road_data"/>
      <sheetName val="abs_road"/>
      <sheetName val="Class_IV_Qtr__Ele"/>
      <sheetName val="m1"/>
      <sheetName val="hdpe weights"/>
      <sheetName val="data existing_do not delete"/>
      <sheetName val="Boq"/>
      <sheetName val="TBAL9697 -group wise  sdpl"/>
      <sheetName val="Process"/>
      <sheetName val="Specification report"/>
      <sheetName val="MRoad data"/>
      <sheetName val="AV-BWSC&amp;MS"/>
      <sheetName val="AV_AC"/>
      <sheetName val="di_Gate_AC"/>
      <sheetName val="Digate-BWSCP-MS"/>
      <sheetName val="DI_gate_di"/>
      <sheetName val="LEAD (2)"/>
      <sheetName val="water-hammar-strenght"/>
      <sheetName val="FORM7"/>
      <sheetName val="co_5"/>
      <sheetName val="LOCAL RATES"/>
      <sheetName val="TOP SLAB-beams"/>
      <sheetName val="ssr-rates"/>
      <sheetName val="Elect."/>
      <sheetName val="Detailed"/>
      <sheetName val="Detail In Door Stad"/>
      <sheetName val="_5wgdhabfinal00_01"/>
      <sheetName val="1-Pop Proj"/>
      <sheetName val="sand"/>
      <sheetName val="stone"/>
      <sheetName val="index"/>
      <sheetName val="Hyd_Stmt"/>
      <sheetName val="BM-HOOP"/>
      <sheetName val="PVC weights"/>
      <sheetName val="detls"/>
      <sheetName val="Global factors"/>
      <sheetName val="Z1_DATA"/>
      <sheetName val="Iocount"/>
      <sheetName val="ewst"/>
      <sheetName val="pop"/>
      <sheetName val="Quarry"/>
      <sheetName val="Line"/>
      <sheetName val="BTR"/>
      <sheetName val="CRUST"/>
      <sheetName val="QDTS"/>
      <sheetName val="nandipet intra"/>
      <sheetName val="hdpe-rates"/>
      <sheetName val="pvc-rates"/>
      <sheetName val="C.D.Abs.Est."/>
      <sheetName val="SSR 2010-11 Rates"/>
      <sheetName val="p&amp;m"/>
      <sheetName val="INPUT-DATA"/>
      <sheetName val="DL CAL"/>
      <sheetName val="SSR 2014-15 Rates"/>
      <sheetName val="Flanged Beams"/>
      <sheetName val="Rectangular Beam"/>
      <sheetName val="not req 3"/>
      <sheetName val="ultmom"/>
      <sheetName val="dlvoid"/>
      <sheetName val="final abstract"/>
      <sheetName val="detail'02"/>
      <sheetName val="crop water req.(Kh)  "/>
      <sheetName val="Bund"/>
      <sheetName val="Valves"/>
      <sheetName val="MS Rates"/>
      <sheetName val="BALAN1"/>
      <sheetName val="AV-DI"/>
      <sheetName val="scour-DI-CI"/>
      <sheetName val="scour-pvc-hdpe-psc-bwsc"/>
      <sheetName val="Relig-place"/>
      <sheetName val="Data well"/>
      <sheetName val="l"/>
      <sheetName val="Formulas"/>
      <sheetName val="SITE OVERHEADS"/>
      <sheetName val="conc-foot-gradeslab"/>
      <sheetName val="C-data"/>
      <sheetName val="BS8007"/>
      <sheetName val="D2_CO"/>
      <sheetName val="Road_data1"/>
      <sheetName val="abs_road1"/>
      <sheetName val="Class_IV_Qtr__Ele1"/>
      <sheetName val="Lead_statement1"/>
      <sheetName val="GROUND_FLOOR"/>
      <sheetName val="Bridge_Data_2005-06"/>
      <sheetName val="Data_07-08_"/>
      <sheetName val="DI_gate-DI"/>
      <sheetName val="DIgate_PVC_"/>
      <sheetName val="Bitumen_trunk"/>
      <sheetName val="R99_etc"/>
      <sheetName val="Trunk_unpaved"/>
      <sheetName val="sub-dapa_"/>
      <sheetName val="Plant_㫨__Machinery"/>
      <sheetName val="Avenue_Plantation_"/>
      <sheetName val="In_put_soft"/>
      <sheetName val="softscape_data_"/>
      <sheetName val="est_input"/>
      <sheetName val="C-data__2)"/>
      <sheetName val="conveyance_"/>
      <sheetName val="Civil_SoR"/>
      <sheetName val="WS_SoR_"/>
      <sheetName val="C-data__for_sub_est"/>
      <sheetName val="Chain_link_mesh_"/>
      <sheetName val="MS_Grill_CW"/>
      <sheetName val="_SS_Gate_(2)"/>
      <sheetName val="_Barbed_wire_(2)"/>
      <sheetName val="Genera_Abstract_Estimate_"/>
      <sheetName val="WS_Data"/>
      <sheetName val="Entrance_Arch_(_H_)"/>
      <sheetName val="Entrance_Arch_(_CH_)"/>
      <sheetName val="Soft_Scape"/>
      <sheetName val="1_Hard_Scape_"/>
      <sheetName val="Sliding_Gate"/>
      <sheetName val="Boundary_Wall"/>
      <sheetName val="Toilet_5X3m"/>
      <sheetName val="Shower_Area_4X1_5m"/>
      <sheetName val="Cremains_Room_5X5m"/>
      <sheetName val="Office_Room_6X6m"/>
      <sheetName val="Security_Room_3X3m"/>
      <sheetName val="Store_Room_6X5_7m"/>
      <sheetName val="Mortury_6X6m"/>
      <sheetName val="Pre_Ritual_Area_8X8m"/>
      <sheetName val="Post_Ritual_Area_6X5m"/>
      <sheetName val="Electric_Crematorioum_15X15m"/>
      <sheetName val="Conventional_Crematorium6_2X5_2"/>
      <sheetName val="Office_cum_Security_Room_7X4m"/>
      <sheetName val="Chain_link_mesh_fencing_"/>
      <sheetName val="SPT_vs_PHI"/>
      <sheetName val="WPI_C"/>
      <sheetName val="WPI_all"/>
      <sheetName val="WPI_HM"/>
      <sheetName val="WPI_S"/>
      <sheetName val="SSR_2015-16"/>
      <sheetName val="DATA_SHEET_FOR_2012_-_13"/>
      <sheetName val="Main_sheet"/>
      <sheetName val="_Data_-Valves"/>
      <sheetName val="Sheet3"/>
      <sheetName val="dump"/>
      <sheetName val="data-WC"/>
      <sheetName val="foundation(V)"/>
      <sheetName val="Main"/>
      <sheetName val="Road data-TDR"/>
      <sheetName val="other rates"/>
      <sheetName val="DATA SHEET FOR 2014-15"/>
      <sheetName val="SSR 2016-17"/>
      <sheetName val="Habcodes"/>
      <sheetName val="MTC-estimate"/>
      <sheetName val="Gen Abs"/>
      <sheetName val="DATA-CD"/>
      <sheetName val="Bill_amt_qty_cc_1"/>
      <sheetName val="#REF"/>
      <sheetName val="checked"/>
      <sheetName val="basdat"/>
      <sheetName val="Data-2010-11"/>
      <sheetName val="TCS_Schedule (2)"/>
      <sheetName val="137-140"/>
      <sheetName val="141-142"/>
      <sheetName val="ElectricalSSR"/>
      <sheetName val="Earthwork MCW"/>
      <sheetName val="TCS Proposed"/>
      <sheetName val="factors"/>
      <sheetName val="sup dat"/>
      <sheetName val="MRMECADAMoad data"/>
      <sheetName val="Road Detail Est."/>
      <sheetName val="1000000000000"/>
      <sheetName val="Drains Est"/>
      <sheetName val="Structure Bills Qty"/>
      <sheetName val="0000000000000"/>
      <sheetName val="PVC_dia"/>
      <sheetName val="Chapter 4"/>
      <sheetName val="Abs_CD_2"/>
      <sheetName val="road est"/>
      <sheetName val="ECV"/>
      <sheetName val="LEAD S 10-11"/>
      <sheetName val="Watersoft (2)"/>
      <sheetName val="DCI-STR"/>
      <sheetName val="HDPE-pipe-rates"/>
      <sheetName val="pvc-pipe-rates"/>
      <sheetName val="CC Road"/>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dpc cost"/>
      <sheetName val="SUMMERY"/>
      <sheetName val="Census_of_India_2001"/>
      <sheetName val="Admin"/>
      <sheetName val="FACE"/>
      <sheetName val="PH data"/>
      <sheetName val="HYDRAULICS"/>
      <sheetName val="Check List"/>
      <sheetName val="Recovery"/>
      <sheetName val="rate analysis "/>
      <sheetName val="(4)F-81 Exp.side"/>
      <sheetName val="Designs"/>
      <sheetName val="BASE_ALL"/>
      <sheetName val="WTP-Pr"/>
      <sheetName val="Data base"/>
      <sheetName val="Av.G Level"/>
      <sheetName val="E6"/>
      <sheetName val="E8"/>
      <sheetName val="E11"/>
      <sheetName val="QUOT_1"/>
      <sheetName val="STAMT"/>
      <sheetName val="JACKWELL"/>
      <sheetName val="tab1&amp;2"/>
      <sheetName val="Form_E6"/>
      <sheetName val="LLEGADA"/>
      <sheetName val="N- Ward Codes"/>
      <sheetName val="NEW "/>
      <sheetName val="LABOUR RATE"/>
      <sheetName val="Material Rate"/>
      <sheetName val="Pier Design(with offset)"/>
      <sheetName val="Aug,02"/>
      <sheetName val="Schedule"/>
      <sheetName val="office"/>
      <sheetName val="Lab"/>
      <sheetName val="Material&amp;equipment"/>
      <sheetName val="dBase"/>
      <sheetName val="Table 4"/>
      <sheetName val="Table 5"/>
      <sheetName val="Table 2"/>
      <sheetName val="Table 27"/>
      <sheetName val="Staff Acco."/>
      <sheetName val="dist dump"/>
      <sheetName val="New33KVSS_E3"/>
      <sheetName val="Prop aug of Ex 33KVSS_E3a"/>
      <sheetName val="agl-pump-sets"/>
      <sheetName val="EG"/>
      <sheetName val="pump-sets(AI)"/>
      <sheetName val="per-capita"/>
      <sheetName val="towns&amp;villages"/>
      <sheetName val="Addl.40"/>
      <sheetName val="bricks"/>
      <sheetName val="Mp-team 1"/>
      <sheetName val="Data-2011-12"/>
      <sheetName val="SPECS"/>
      <sheetName val="Meas.-Hotel Part"/>
      <sheetName val="Data_Base"/>
      <sheetName val="abst"/>
      <sheetName val="design"/>
      <sheetName val="inWords"/>
      <sheetName val="Lead  RATES"/>
      <sheetName val="COLUMN"/>
      <sheetName val="WPI CM"/>
      <sheetName val="GM&amp;PM WE1 EST"/>
      <sheetName val="BWSCP"/>
      <sheetName val="EDWise"/>
      <sheetName val="1"/>
      <sheetName val="3"/>
      <sheetName val="4"/>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DATA-BASE"/>
      <sheetName val="DATA-ABSTRACT"/>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Cover-MEstt."/>
      <sheetName val="ABST(PART B) "/>
      <sheetName val="F6-Gnrl Abstrt"/>
      <sheetName val="Lead"/>
      <sheetName val="Data.F8.BTR"/>
      <sheetName val="F6-Estt"/>
      <sheetName val="sub-data -no full"/>
      <sheetName val="Labour"/>
      <sheetName val="Machinery"/>
      <sheetName val="Sheet1"/>
      <sheetName val="Diff stmnt (2)"/>
      <sheetName val="lead-st"/>
      <sheetName val="rdamdata"/>
      <sheetName val="DATA-BASE"/>
      <sheetName val="DATA-ABSTRACT"/>
      <sheetName val="Data_Renuals"/>
      <sheetName val="Lead statement ss5"/>
      <sheetName val="m"/>
      <sheetName val="Data"/>
    </sheetNames>
    <sheetDataSet>
      <sheetData sheetId="0" refreshError="1"/>
      <sheetData sheetId="1" refreshError="1"/>
      <sheetData sheetId="2"/>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abs_(2)akoli1"/>
      <sheetName val="Cd_nam1"/>
      <sheetName val="cd_namnoor_11"/>
      <sheetName val="ewcal_(2)-akoli1"/>
      <sheetName val="abs_(2)ko1"/>
      <sheetName val="ewcal-korta_(2)1"/>
      <sheetName val="Data_F8_BTR"/>
      <sheetName val="r"/>
      <sheetName val="Analy_7-10"/>
      <sheetName val="HDPE"/>
      <sheetName val="DI"/>
      <sheetName val="pvc"/>
      <sheetName val="pvc_basic"/>
      <sheetName val="hdpe_basic"/>
      <sheetName val="Common "/>
      <sheetName val="Work_sheet"/>
      <sheetName val="t_prsr"/>
      <sheetName val="id"/>
      <sheetName val="GN_ST_10"/>
      <sheetName val="GN-ST-10"/>
      <sheetName val="data existing_do not delete"/>
      <sheetName val="Usage"/>
      <sheetName val="General"/>
      <sheetName val="Cover"/>
      <sheetName val="MRATES"/>
      <sheetName val="segments-details"/>
      <sheetName val="int-Dia-hdpe"/>
      <sheetName val="habs-list"/>
      <sheetName val="int-Dia-pvc"/>
      <sheetName val="DATA-BASE"/>
      <sheetName val="DATA-ABSTRACT"/>
      <sheetName val="maya"/>
      <sheetName val="rdamdata"/>
      <sheetName val="lead-st"/>
      <sheetName val="coverpage"/>
      <sheetName val="Road data"/>
      <sheetName val="leads"/>
      <sheetName val="Sheet1"/>
      <sheetName val="Levels"/>
      <sheetName val="Bitumen trunk"/>
      <sheetName val="Feeder"/>
      <sheetName val="R99 etc"/>
      <sheetName val="Trunk unpaved"/>
      <sheetName val="GF SB Ok "/>
      <sheetName val="Specification report"/>
      <sheetName val="Compound wall  Ok"/>
      <sheetName val="Lead statement"/>
      <sheetName val="Material"/>
      <sheetName val="Works"/>
      <sheetName val="RMR"/>
      <sheetName val="Class IV Qtr. Ele"/>
      <sheetName val="BWSCPlt"/>
      <sheetName val="CI"/>
      <sheetName val="G.R.P"/>
      <sheetName val="PSC REVISED"/>
      <sheetName val="Sheet1 (2)"/>
      <sheetName val="m"/>
      <sheetName val="Design"/>
      <sheetName val="Process"/>
      <sheetName val="SUMP1420KL@HW"/>
      <sheetName val="Sheet2"/>
      <sheetName val="Lead statement ss5"/>
      <sheetName val="DATA_PRG"/>
      <sheetName val="DataInput"/>
      <sheetName val="DataInput-1"/>
      <sheetName val="DI Rate Analysis"/>
      <sheetName val="sg-clay(d)"/>
      <sheetName val="Main sheet"/>
      <sheetName val="HDPE-pipe-rates"/>
      <sheetName val="pvc-pipe-rates"/>
      <sheetName val="stone"/>
      <sheetName val="cover-Akoly"/>
      <sheetName val="cover-oorta"/>
      <sheetName val="ewcal-korti_(2)1"/>
      <sheetName val="int-Diá-pvc"/>
      <sheetName val="m1"/>
      <sheetName val="v"/>
      <sheetName val="Rate"/>
      <sheetName val="Plant &amp;  Machinery"/>
      <sheetName val="Convey"/>
      <sheetName val="Labour"/>
      <sheetName val="MRoad data"/>
      <sheetName val="Abs"/>
      <sheetName val="BTR"/>
      <sheetName val="GenAbst"/>
      <sheetName val="Rates"/>
      <sheetName val="MRMECADAMoad data"/>
      <sheetName val="R_Det"/>
      <sheetName val="abs_(2)akoli2"/>
      <sheetName val="Cd_nam2"/>
      <sheetName val="cd_namnoor_12"/>
      <sheetName val="ewcal_(2)-akoli2"/>
      <sheetName val="abs_(2)ko2"/>
      <sheetName val="ewcal-korta_(2)2"/>
      <sheetName val="Data_F8_BTR1"/>
      <sheetName val="data_existing_do_not_delete"/>
      <sheetName val="Road_data"/>
      <sheetName val="Common_"/>
      <sheetName val="abs_(2)akoli3"/>
      <sheetName val="Cd_nam3"/>
      <sheetName val="cd_namnoor_13"/>
      <sheetName val="ewcal_(2)-akoli3"/>
      <sheetName val="abs_(2)ko3"/>
      <sheetName val="ewcal-korta_(2)3"/>
      <sheetName val="Data_F8_BTR2"/>
      <sheetName val="data_existing_do_not_delete1"/>
      <sheetName val="Road_data1"/>
      <sheetName val="Common_1"/>
      <sheetName val="Design of two-way slab"/>
      <sheetName val="DATA-2005-06"/>
      <sheetName val="Av.G Level"/>
      <sheetName val="ewst"/>
      <sheetName val="zone-8"/>
      <sheetName val="MHNO_LEV"/>
      <sheetName val="Data rough"/>
      <sheetName val="pop"/>
      <sheetName val="HS 30.04.2015.Final"/>
      <sheetName val="nodes"/>
      <sheetName val="int-Dia"/>
      <sheetName val="JAWAHAR-hyd-original"/>
      <sheetName val="PRECAST lightconc-II"/>
      <sheetName val="Sheet9"/>
      <sheetName val="Data-ELSR"/>
      <sheetName val=" Data -Valves"/>
      <sheetName val="p&amp;m"/>
      <sheetName val="Boq (Main Building)"/>
      <sheetName val="Rates SSR 2008-09"/>
      <sheetName val="moments-table(tri)"/>
      <sheetName val="detls"/>
      <sheetName val="pumping main"/>
      <sheetName val="hdpe weights"/>
      <sheetName val="PVC weights"/>
      <sheetName val=" data sheet "/>
      <sheetName val="HS 1"/>
      <sheetName val="Lookup"/>
      <sheetName val="0000000000000"/>
      <sheetName val="wh_data"/>
      <sheetName val="wh_data_R"/>
      <sheetName val="CPHEEO"/>
      <sheetName val="input"/>
      <sheetName val="boredetails"/>
      <sheetName val="LOCAL RATES"/>
      <sheetName val="BS8007"/>
      <sheetName val="index"/>
      <sheetName val="water-hammar-strenght"/>
      <sheetName val="PUMP_DATA"/>
      <sheetName val="Staff Acco."/>
      <sheetName val="Sheet3"/>
      <sheetName val="GM&amp;PM WE1 EST"/>
      <sheetName val="BWSCP"/>
      <sheetName val="Detailed"/>
      <sheetName val="AV_GRP ms bwsc"/>
      <sheetName val="nandipet intra"/>
      <sheetName val="ssr-rates"/>
      <sheetName val="hdpe_rates"/>
      <sheetName val="hdpe_wt-r"/>
      <sheetName val="pvc-rates"/>
      <sheetName val="Valves"/>
      <sheetName val="MS Rates"/>
      <sheetName val="51"/>
      <sheetName val="mlead"/>
      <sheetName val="Abs PMRL"/>
      <sheetName val="sch"/>
      <sheetName val="Main"/>
      <sheetName val="dlvoid"/>
      <sheetName val="slab"/>
      <sheetName val="C-data"/>
      <sheetName val="HPs HPs"/>
      <sheetName val="abs road"/>
      <sheetName val="ultmom"/>
      <sheetName val="CS "/>
      <sheetName val="CPI"/>
      <sheetName val="WPI C"/>
      <sheetName val="WPI all"/>
      <sheetName val="WPI HM"/>
      <sheetName val="WPI S"/>
      <sheetName val="Nspt-smp-final-ORIGINAL"/>
      <sheetName val="TBAL9697 -group wise  sdpl"/>
      <sheetName val="RAFT"/>
      <sheetName val="scour depth"/>
      <sheetName val="Boq"/>
      <sheetName val="Road data-TDR"/>
      <sheetName val="Summary"/>
      <sheetName val="joinery data"/>
      <sheetName val="Master data"/>
      <sheetName val="TCS_Schedule (2)"/>
      <sheetName val="zone-2"/>
      <sheetName val="GF_SB_Ok_"/>
      <sheetName val="Specification_report"/>
      <sheetName val="Compound_wall__Ok"/>
      <sheetName val="Bitumen_trunk"/>
      <sheetName val="R99_etc"/>
      <sheetName val="Trunk_unpaved"/>
      <sheetName val="Class_IV_Qtr__Ele"/>
      <sheetName val="Lead_statement"/>
      <sheetName val="G_R_P"/>
      <sheetName val="PSC_REVISED"/>
      <sheetName val="Sheet1_(2)"/>
      <sheetName val="Lead_statement_ss5"/>
      <sheetName val="DI_Rate_Analysis"/>
      <sheetName val="MRMECADAMoad_data"/>
      <sheetName val="Main_sheet"/>
      <sheetName val="Challan"/>
      <sheetName val="dump"/>
      <sheetName val="CC Road"/>
      <sheetName val="MTC-estimate"/>
      <sheetName val="ESTIMATE"/>
      <sheetName val="title"/>
      <sheetName val="pier design"/>
      <sheetName val="Z1_DATA"/>
      <sheetName val="hdpe-rates"/>
      <sheetName val="wh"/>
      <sheetName val="Quarry"/>
      <sheetName val="Line"/>
      <sheetName val="CRUST"/>
      <sheetName val="QDTS"/>
      <sheetName val="_5wgdhabfinal00_01"/>
      <sheetName val="PM&amp;GM"/>
      <sheetName val="AV-PVC"/>
      <sheetName val="DI gate-DI"/>
      <sheetName val="DIgate_PVC "/>
      <sheetName val="Data_Bit_I"/>
      <sheetName val="SSR 2014-15 Rates"/>
      <sheetName val="Data_Base"/>
      <sheetName val="Factory_rates"/>
      <sheetName val="Specification"/>
      <sheetName val="sup dat"/>
      <sheetName val="C.D.Abs.Est."/>
      <sheetName val="Habcodes"/>
      <sheetName val="Economic RisingMain  Ph-I"/>
      <sheetName val="final abstract"/>
      <sheetName val="ITB COST"/>
      <sheetName val="Masonry"/>
      <sheetName val="road est"/>
      <sheetName val="LIST"/>
      <sheetName val="Mp-team 1"/>
      <sheetName val="Bridge Data 2005-06"/>
      <sheetName val="Road Detail Est."/>
      <sheetName val="Road"/>
      <sheetName val="Rate Analysis"/>
      <sheetName val="co_5"/>
      <sheetName val="bricks"/>
      <sheetName val="rate analysis "/>
      <sheetName val="Census_of_India_2001"/>
      <sheetName val="Sheet3-1"/>
      <sheetName val="Admin"/>
      <sheetName val="DOC-Register"/>
      <sheetName val="Condition survey"/>
      <sheetName val="Pier Design(with offset)"/>
      <sheetName val="Mortars"/>
      <sheetName val="HYDRAULICS"/>
      <sheetName val="(4)F-81 Exp.side"/>
      <sheetName val="Check List"/>
      <sheetName val="Recovery"/>
      <sheetName val="Relig-place"/>
      <sheetName val="FACE"/>
      <sheetName val="INPUT-DATA"/>
      <sheetName val="cap-cwr_top"/>
      <sheetName val="compr_sta_2"/>
      <sheetName val="compr_sta_3"/>
      <sheetName val="design "/>
      <sheetName val="disinfec"/>
      <sheetName val="duti_desi"/>
      <sheetName val="pop_"/>
      <sheetName val="pum_hours"/>
      <sheetName val="risin_Ips_3"/>
      <sheetName val="risin_mps_2"/>
      <sheetName val="risin_sourc-1"/>
      <sheetName val="velo_1"/>
      <sheetName val="water_dem"/>
      <sheetName val="WTP-Pr"/>
      <sheetName val="BALAN1"/>
      <sheetName val="Designs"/>
      <sheetName val="DREV"/>
      <sheetName val="CREV"/>
      <sheetName val="PH data"/>
      <sheetName val="kC"/>
      <sheetName val="Form_E6"/>
      <sheetName val="E8"/>
      <sheetName val="E11"/>
      <sheetName val="Consumption"/>
      <sheetName val="Area Sheet NO 1"/>
      <sheetName val="QTY"/>
      <sheetName val="1-Pop Proj"/>
      <sheetName val="LABOUR RATE"/>
      <sheetName val="Material Rate"/>
      <sheetName val="N- Ward Codes"/>
      <sheetName val="11.Habitations"/>
      <sheetName val="Part-A, Detailed Estimate, NR"/>
      <sheetName val="MATERIALS"/>
      <sheetName val="IDCCALHYD_GOO"/>
      <sheetName val="CD"/>
      <sheetName val="CD_All_No_"/>
      <sheetName val="Inventory"/>
      <sheetName val="Addl.40"/>
      <sheetName val="A"/>
      <sheetName val="int dia"/>
      <sheetName val="(Road-Project)"/>
      <sheetName val="FT-05-02IsoBOM"/>
      <sheetName val="Cost of O &amp; O"/>
      <sheetName val="Total Sec Wise for 12-2007"/>
      <sheetName val="dist dump"/>
      <sheetName val="Estimate "/>
      <sheetName val="mas_hab"/>
      <sheetName val="AV-HDPE"/>
      <sheetName val="Di_gate-HDPE"/>
      <sheetName val="TOP SLAB-beams"/>
      <sheetName val="l"/>
      <sheetName val="not req 3"/>
      <sheetName val="Data Road R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atr"/>
      <sheetName val="ew-cal"/>
      <sheetName val="ann-b"/>
      <sheetName val="Abstrct "/>
      <sheetName val="est"/>
      <sheetName val="Lead"/>
      <sheetName val="Data"/>
      <sheetName val="she"/>
      <sheetName val="Part A"/>
      <sheetName val="Material"/>
      <sheetName val="Plant &amp;  Machinery"/>
      <sheetName val="Lead statement ss5"/>
      <sheetName val="DATA-BASE"/>
      <sheetName val="DATA-ABSTRACT"/>
      <sheetName val="v"/>
      <sheetName val="r"/>
      <sheetName val="Abstrct_"/>
      <sheetName val="Part_A"/>
      <sheetName val="Data.F8.BTR"/>
      <sheetName val="Rate analysis-civil"/>
      <sheetName val="Abstr#t "/>
      <sheetName val="m"/>
      <sheetName val="Sheet1"/>
      <sheetName val="LEADS"/>
      <sheetName val="pvc-pipe-rates"/>
      <sheetName val="Labour"/>
      <sheetName val="ewst"/>
      <sheetName val="detls"/>
      <sheetName val="maya"/>
      <sheetName val="Lead statement"/>
      <sheetName val="DATA_PRG"/>
      <sheetName val="segments-details"/>
      <sheetName val="int-Dia-hdpe"/>
      <sheetName val="habs-list"/>
      <sheetName val="int-Dia-pvc"/>
      <sheetName val="MRATES"/>
      <sheetName val="Bitumen trunk"/>
      <sheetName val="Feeder"/>
      <sheetName val="R99 etc"/>
      <sheetName val="Trunk unpaved"/>
      <sheetName val="Levels"/>
      <sheetName val="GROUND FLOOR"/>
      <sheetName val="Bridge Data 2005-06"/>
      <sheetName val="MRoad data"/>
      <sheetName val="Boq"/>
      <sheetName val="RMR"/>
      <sheetName val="Input"/>
      <sheetName val="abs road"/>
      <sheetName val="coverpage"/>
      <sheetName val="Road data"/>
      <sheetName val="TS memo"/>
      <sheetName val="CD_Data"/>
      <sheetName val="C.D.Abs.Est."/>
      <sheetName val="m1"/>
      <sheetName val="Common "/>
      <sheetName val="CD Data"/>
      <sheetName val="Road Detail Est."/>
      <sheetName val="data existing_do not delete"/>
      <sheetName val="pvc_basic"/>
      <sheetName val="HDPE"/>
      <sheetName val="Abstrct_1"/>
      <sheetName val="Part_A1"/>
      <sheetName val="Plant_&amp;__Machinery"/>
      <sheetName val="Lead_statement_ss5"/>
      <sheetName val="Abstr#t_"/>
      <sheetName val="Abstrct_2"/>
      <sheetName val="Part_A2"/>
      <sheetName val="Plant_&amp;__Machinery1"/>
      <sheetName val="Lead_statement_ss51"/>
      <sheetName val="Abstr#t_1"/>
      <sheetName val="RAFT"/>
      <sheetName val="scour depth"/>
      <sheetName val="SALIENT"/>
      <sheetName val="CPIPE2"/>
      <sheetName val="Convey"/>
      <sheetName val="nodes"/>
      <sheetName val="int-Dia"/>
      <sheetName val="Quarry"/>
      <sheetName val="DATA-2005-06"/>
      <sheetName val="Rates"/>
      <sheetName val="PH data"/>
      <sheetName val="Sheet2"/>
      <sheetName val="Lead Distance"/>
      <sheetName val="0000000000000"/>
      <sheetName val="Pop"/>
      <sheetName val="EDWise"/>
      <sheetName val="Bill-12"/>
      <sheetName val="banilad"/>
      <sheetName val="Mactan"/>
      <sheetName val="Mandaue"/>
      <sheetName val="p&amp;m"/>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ubAnalysis"/>
      <sheetName val="rdamdata"/>
      <sheetName val="mlead"/>
      <sheetName val="R_Det"/>
      <sheetName val="Main sheet"/>
      <sheetName val="GF Columns"/>
      <sheetName val="C-data"/>
      <sheetName val="Estimate "/>
      <sheetName val="Mix Design"/>
      <sheetName val="Work_sheet"/>
      <sheetName val="PUMP_DATA"/>
      <sheetName val="ssr-rates"/>
      <sheetName val="hdpe_rates"/>
      <sheetName val="hdpe_wt-r"/>
      <sheetName val="pvc-rates"/>
      <sheetName val="PVC weights"/>
      <sheetName val="DI"/>
      <sheetName val="index"/>
      <sheetName val="Data rough"/>
      <sheetName val="water-hammar-strenght"/>
      <sheetName val="BWSCPlt"/>
      <sheetName val="CI"/>
      <sheetName val="G.R.P"/>
      <sheetName val="PSC REVISED"/>
      <sheetName val="pvc"/>
      <sheetName val="BM-HOOP"/>
      <sheetName val="MTC-estimate"/>
      <sheetName val="other rates"/>
      <sheetName val="Habcodes"/>
      <sheetName val="ITB COST"/>
      <sheetName val="Watersoft (2)"/>
      <sheetName val="Sorted"/>
      <sheetName val="WATER-HAMMER"/>
      <sheetName val="lead-st"/>
      <sheetName val="Process"/>
      <sheetName val="Lead_statement"/>
      <sheetName val="Bridge_Data_2005-06"/>
      <sheetName val="MRoad_data"/>
      <sheetName val="Bitumen_trunk"/>
      <sheetName val="R99_etc"/>
      <sheetName val="Trunk_unpaved"/>
      <sheetName val="GROUND_FLOOR"/>
      <sheetName val="Data_F8_BTR"/>
      <sheetName val="abs_road"/>
      <sheetName val="Road_data"/>
      <sheetName val="TS_memo"/>
      <sheetName val="C_D_Abs_Est_"/>
      <sheetName val="CD_Data1"/>
      <sheetName val="Common_"/>
      <sheetName val="wh_data"/>
      <sheetName val="wh_data_R"/>
      <sheetName val="CPHEEO"/>
      <sheetName val="Staff Acco."/>
      <sheetName val="Summary"/>
      <sheetName val="Iocount"/>
      <sheetName val="Data-2011-12"/>
      <sheetName val="ultmom"/>
      <sheetName val="foundation(V)"/>
      <sheetName val="Specification report"/>
      <sheetName val="Flanged Beams"/>
      <sheetName val="Rectangular Beam"/>
      <sheetName val="final abstract"/>
      <sheetName val="DL CAL"/>
      <sheetName val="cert"/>
      <sheetName val="bom"/>
      <sheetName val="Sheet3"/>
      <sheetName val="ABS"/>
      <sheetName val="SUMP1420KL@HW"/>
      <sheetName val="id"/>
      <sheetName val="Programme"/>
      <sheetName val="MRMECADAMoad data"/>
      <sheetName val="stone"/>
      <sheetName val="not req 3"/>
      <sheetName val="Data_Bit_I"/>
      <sheetName val="51"/>
      <sheetName val="Basicrates"/>
      <sheetName val="Lead  RATES"/>
      <sheetName val="mtc esti"/>
      <sheetName val="hdpe_basic"/>
      <sheetName val="Lead 19-20"/>
      <sheetName val="Sheet1 (2)"/>
      <sheetName val="DATA SHEET"/>
      <sheetName val="Summary- Flyovers"/>
      <sheetName val="Mp-team 1"/>
      <sheetName val="Nspt-smp-final-ORIGINAL"/>
      <sheetName val="DISCOUNT"/>
      <sheetName val="Factory_rates"/>
      <sheetName val="Specification"/>
      <sheetName val="Data_Base"/>
      <sheetName val="sg-clay(d)"/>
      <sheetName val="DET R"/>
      <sheetName val="data1"/>
      <sheetName val="C.D.Data (Morth)"/>
      <sheetName val="DET-ABS(toilet&amp;residence of ju)"/>
      <sheetName val="GUNTUR"/>
      <sheetName val="List (2)"/>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PEC 7.00"/>
      <sheetName val="SPEC 14.00"/>
      <sheetName val="SPEC 24.00"/>
      <sheetName val="SPEC 6.00"/>
      <sheetName val="Lead"/>
      <sheetName val="Data_Renuals"/>
      <sheetName val="V BIT 25.00"/>
      <sheetName val="IV BIT 21.00"/>
      <sheetName val="III BIT 28.00"/>
      <sheetName val="I BIT 24.50"/>
      <sheetName val="B-M 6.00"/>
      <sheetName val="B-M 24.00"/>
      <sheetName val="CR 24.00"/>
      <sheetName val="CR 6.00"/>
      <sheetName val="CR 14.00"/>
      <sheetName val="Schedule"/>
      <sheetName val="Conveyance"/>
      <sheetName val="SPEC_7_00"/>
      <sheetName val="SPEC_14_00"/>
      <sheetName val="SPEC_24_00"/>
      <sheetName val="SPEC_6_00"/>
      <sheetName val="V_BIT_25_00"/>
      <sheetName val="IV_BIT_21_00"/>
      <sheetName val="III_BIT_28_00"/>
      <sheetName val="I_BIT_24_50"/>
      <sheetName val="B-M_6_00"/>
      <sheetName val="B-M_24_00"/>
      <sheetName val="CR_24_00"/>
      <sheetName val="CR_6_00"/>
      <sheetName val="CR_14_00"/>
      <sheetName val="Plant &amp;  Machinery"/>
      <sheetName val="Material"/>
      <sheetName val="Labour"/>
      <sheetName val="Sheet2"/>
      <sheetName val="sectorwise"/>
      <sheetName val="v"/>
      <sheetName val="r"/>
      <sheetName val="0000000000000"/>
      <sheetName val="DATA"/>
      <sheetName val="ABS"/>
      <sheetName val="Lead statement ss5"/>
      <sheetName val="maya"/>
      <sheetName val="hdpe weights"/>
      <sheetName val="PVC weights"/>
      <sheetName val="index"/>
      <sheetName val="Lead  RATES"/>
      <sheetName val="MRATES"/>
      <sheetName val="MRoad data"/>
      <sheetName val="int-Dia"/>
      <sheetName val="habs-list"/>
      <sheetName val="nodes"/>
      <sheetName val="Sheet3"/>
      <sheetName val="leads"/>
      <sheetName val="Levels"/>
      <sheetName val="HDPE-pipe-rates"/>
      <sheetName val="pvc-pipe-rates"/>
      <sheetName val="m"/>
      <sheetName val="Nspt-smp-final-ORIGINAL"/>
      <sheetName val="Road data"/>
      <sheetName val="ewst"/>
      <sheetName val="Data.F8.BTR"/>
      <sheetName val="Bitumen trunk"/>
      <sheetName val="Feeder"/>
      <sheetName val="R99 etc"/>
      <sheetName val="Trunk unpaved"/>
      <sheetName val="DATA_PRG"/>
      <sheetName val="M.R.O"/>
      <sheetName val="agreement"/>
      <sheetName val="RATES"/>
      <sheetName val="Gen Abs"/>
      <sheetName val="data existing_do not delete"/>
      <sheetName val="rdamdata"/>
      <sheetName val="Sheet1"/>
      <sheetName val="JAWAHAR-hyd-original"/>
      <sheetName val="DATA-BASE"/>
      <sheetName val="DATA-ABS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One_vent_Pipe1"/>
      <sheetName val="Four_vents1"/>
      <sheetName val="two_vents1"/>
      <sheetName val="data"/>
      <sheetName val="Lead"/>
      <sheetName val="Designs"/>
      <sheetName val="3Vents"/>
      <sheetName val="Abut"/>
      <sheetName val="Pier"/>
      <sheetName val="Speci"/>
      <sheetName val="One_vent_1"/>
      <sheetName val="Material"/>
      <sheetName val="Sheet1"/>
      <sheetName val="Contents"/>
      <sheetName val="Plant_&amp;__Machinery1"/>
      <sheetName val="Labour"/>
      <sheetName val="Lead_statement_(2)1"/>
      <sheetName val="Lead_statement1"/>
      <sheetName val="Summary_of_Rates1"/>
      <sheetName val="Preambles-Chapter"/>
      <sheetName val="Basic_Approach1"/>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_(2)1"/>
      <sheetName val="Data_(2)1"/>
      <sheetName val="Estimate"/>
      <sheetName val="XXXXXXXXXXXXX"/>
      <sheetName val="0000000000000"/>
      <sheetName val="6_5%_(2)1"/>
      <sheetName val="est_(2)1"/>
      <sheetName val="XXXXXXXXXXXX0"/>
      <sheetName val="Abstract_(2)1"/>
      <sheetName val="Detailed"/>
      <sheetName val="key_(2)1"/>
      <sheetName val="pro-B_(2)1"/>
      <sheetName val="est__(mord)1"/>
      <sheetName val="est(old)_1"/>
      <sheetName val="6_5%1"/>
      <sheetName val="10%"/>
      <sheetName val="One_vent_Pipe"/>
      <sheetName val="Four_vents"/>
      <sheetName val="two_vents"/>
      <sheetName val="One_vent_"/>
      <sheetName val="Plant_&amp;__Machinery"/>
      <sheetName val="Lead_statement_(2)"/>
      <sheetName val="Lead_statement"/>
      <sheetName val="Summary_of_Rates"/>
      <sheetName val="Basic_Approach"/>
      <sheetName val="Lead_(2)"/>
      <sheetName val="Data_(2)"/>
      <sheetName val="6_5%_(2)"/>
      <sheetName val="est_(2)"/>
      <sheetName val="Abstract_(2)"/>
      <sheetName val="key_(2)"/>
      <sheetName val="pro-B_(2)"/>
      <sheetName val="est__(mord)"/>
      <sheetName val="est(old)_"/>
      <sheetName val="6_5%"/>
      <sheetName val="One vent Pipe"/>
      <sheetName val="Four vents"/>
      <sheetName val="two vents"/>
      <sheetName val="One vent "/>
      <sheetName val="Plant &amp;  Machinery"/>
      <sheetName val="Lead statement (2)"/>
      <sheetName val="Lead statement"/>
      <sheetName val="Summary of Rates"/>
      <sheetName val="Basic Approach"/>
      <sheetName val="Lead (2)"/>
      <sheetName val="Data (2)"/>
      <sheetName val="6.5% (2)"/>
      <sheetName val="est (2)"/>
      <sheetName val="Abstract (2)"/>
      <sheetName val="key (2)"/>
      <sheetName val="pro-B (2)"/>
      <sheetName val="est  (mord)"/>
      <sheetName val="est(old) "/>
      <sheetName val="6.5%"/>
      <sheetName val="Bitumen trunk"/>
      <sheetName val="Feeder"/>
      <sheetName val="R99 etc"/>
      <sheetName val="Trunk unpaved"/>
      <sheetName val="rdamdata"/>
      <sheetName val="leads"/>
      <sheetName val="detls"/>
      <sheetName val="data existing_do not delete"/>
      <sheetName val="v"/>
      <sheetName val="MRATES"/>
      <sheetName val="r"/>
      <sheetName val="RMR"/>
      <sheetName val="t_prsr"/>
      <sheetName val="id"/>
      <sheetName val="Estimate 10.00 Lakhs "/>
      <sheetName val="mlead"/>
      <sheetName val="abs road"/>
      <sheetName val="coverpage"/>
      <sheetName val="Road data"/>
      <sheetName val="R_Det"/>
      <sheetName val="lead-st"/>
      <sheetName val="DATA-BASE"/>
      <sheetName val="DATA-ABSTRACT"/>
      <sheetName val="m"/>
      <sheetName val="Specification report"/>
      <sheetName val="data-WC"/>
      <sheetName val="Common "/>
      <sheetName val="Staff Acco."/>
      <sheetName val="segments-details"/>
      <sheetName val="int-Dia-hdpe"/>
      <sheetName val="int-Dia-pvc"/>
      <sheetName val="Rates"/>
      <sheetName val="ewst"/>
      <sheetName val="Levels"/>
      <sheetName val="RAFT"/>
      <sheetName val="scour depth"/>
      <sheetName val="SUMP1420KL@HW"/>
      <sheetName val="HDPE"/>
      <sheetName val="DI"/>
      <sheetName val="pvc"/>
      <sheetName val="hdpe_basic"/>
      <sheetName val="pvc_basic"/>
      <sheetName val="p&amp;m"/>
      <sheetName val="maya"/>
      <sheetName val="final abstract"/>
      <sheetName val="m1"/>
      <sheetName val="wh_data_R"/>
      <sheetName val="Sheet5"/>
      <sheetName val="One_vent_Pipe5"/>
      <sheetName val="Four_vents5"/>
      <sheetName val="two_vents5"/>
      <sheetName val="One_vent_5"/>
      <sheetName val="Plant_&amp;__Machinery5"/>
      <sheetName val="Lead_statement_(2)5"/>
      <sheetName val="Lead_statement5"/>
      <sheetName val="Summary_of_Rates5"/>
      <sheetName val="Basic_Approach5"/>
      <sheetName val="Lead_(2)5"/>
      <sheetName val="Data_(2)5"/>
      <sheetName val="6_5%_(2)5"/>
      <sheetName val="est_(2)5"/>
      <sheetName val="Abstract_(2)5"/>
      <sheetName val="key_(2)5"/>
      <sheetName val="pro-B_(2)5"/>
      <sheetName val="est__(mord)5"/>
      <sheetName val="est(old)_5"/>
      <sheetName val="6_5%5"/>
      <sheetName val="One_vent_Pipe3"/>
      <sheetName val="Four_vents3"/>
      <sheetName val="two_vents3"/>
      <sheetName val="One_vent_3"/>
      <sheetName val="Plant_&amp;__Machinery3"/>
      <sheetName val="Lead_statement_(2)3"/>
      <sheetName val="Lead_statement3"/>
      <sheetName val="Summary_of_Rates3"/>
      <sheetName val="Basic_Approach3"/>
      <sheetName val="Lead_(2)3"/>
      <sheetName val="Data_(2)3"/>
      <sheetName val="6_5%_(2)3"/>
      <sheetName val="est_(2)3"/>
      <sheetName val="Abstract_(2)3"/>
      <sheetName val="key_(2)3"/>
      <sheetName val="pro-B_(2)3"/>
      <sheetName val="est__(mord)3"/>
      <sheetName val="est(old)_3"/>
      <sheetName val="6_5%3"/>
      <sheetName val="One_vent_Pipe2"/>
      <sheetName val="Four_vents2"/>
      <sheetName val="two_vents2"/>
      <sheetName val="One_vent_2"/>
      <sheetName val="Plant_&amp;__Machinery2"/>
      <sheetName val="Lead_statement_(2)2"/>
      <sheetName val="Lead_statement2"/>
      <sheetName val="Summary_of_Rates2"/>
      <sheetName val="Basic_Approach2"/>
      <sheetName val="Lead_(2)2"/>
      <sheetName val="Data_(2)2"/>
      <sheetName val="6_5%_(2)2"/>
      <sheetName val="est_(2)2"/>
      <sheetName val="Abstract_(2)2"/>
      <sheetName val="key_(2)2"/>
      <sheetName val="pro-B_(2)2"/>
      <sheetName val="est__(mord)2"/>
      <sheetName val="est(old)_2"/>
      <sheetName val="6_5%2"/>
      <sheetName val="One_vent_Pipe4"/>
      <sheetName val="Four_vents4"/>
      <sheetName val="two_vents4"/>
      <sheetName val="One_vent_4"/>
      <sheetName val="Plant_&amp;__Machinery4"/>
      <sheetName val="Lead_statement_(2)4"/>
      <sheetName val="Lead_statement4"/>
      <sheetName val="Summary_of_Rates4"/>
      <sheetName val="Basic_Approach4"/>
      <sheetName val="Lead_(2)4"/>
      <sheetName val="Data_(2)4"/>
      <sheetName val="6_5%_(2)4"/>
      <sheetName val="est_(2)4"/>
      <sheetName val="Abstract_(2)4"/>
      <sheetName val="key_(2)4"/>
      <sheetName val="pro-B_(2)4"/>
      <sheetName val="est__(mord)4"/>
      <sheetName val="est(old)_4"/>
      <sheetName val="6_5%4"/>
      <sheetName val="pvc-pipe-rates"/>
      <sheetName val="wh"/>
      <sheetName val="boredetails"/>
      <sheetName val="Data.F8.BTR"/>
      <sheetName val="C.D.Abs.Est."/>
      <sheetName val="Bill-12"/>
      <sheetName val="Bitumen_trunk"/>
      <sheetName val="R99_etc"/>
      <sheetName val="Trunk_unpaved"/>
      <sheetName val="Bitumen_trunk1"/>
      <sheetName val="R99_etc1"/>
      <sheetName val="Trunk_unpaved1"/>
      <sheetName val="GF SB Ok "/>
      <sheetName val="inWords"/>
      <sheetName val="Data o"/>
      <sheetName val="Lead statement ss5"/>
      <sheetName val="Sheet1 (2)"/>
      <sheetName val="quarry"/>
      <sheetName val="WATER-HAMMER"/>
      <sheetName val="Data_Base"/>
      <sheetName val="Input"/>
      <sheetName val="Plant &amp;  Machiner"/>
      <sheetName val="SSR 2016-17 Rates"/>
      <sheetName val="General"/>
      <sheetName val="60-70"/>
      <sheetName val="80-100"/>
      <sheetName val="Emulsion MS"/>
      <sheetName val=" HSD"/>
      <sheetName val="Line"/>
      <sheetName val="BM-HOOP"/>
      <sheetName val="ABS"/>
      <sheetName val="Iocount"/>
      <sheetName val="DATA SHEET FOR 2014-15"/>
      <sheetName val="DATA SHEET FOR 2012 - 13"/>
      <sheetName val="Usage "/>
      <sheetName val="Nspt-smp-final-ORIGINAL"/>
      <sheetName val="sectorwise"/>
      <sheetName val="CS "/>
      <sheetName val="Work_sheet"/>
      <sheetName val="DATA_PRG"/>
      <sheetName val="SSR 2015-16"/>
      <sheetName val="HDPE-pipe-rates"/>
      <sheetName val="L040"/>
      <sheetName val="lead charges"/>
      <sheetName val="CD_Data"/>
      <sheetName val="One_vent_Pipe6"/>
      <sheetName val="Four_vents6"/>
      <sheetName val="two_vents6"/>
      <sheetName val="One_vent_6"/>
      <sheetName val="Plant_&amp;__Machinery6"/>
      <sheetName val="Lead_statement_(2)6"/>
      <sheetName val="Lead_statement6"/>
      <sheetName val="Summary_of_Rates6"/>
      <sheetName val="Basic_Approach6"/>
      <sheetName val="Lead_(2)6"/>
      <sheetName val="Data_(2)6"/>
      <sheetName val="6_5%_(2)6"/>
      <sheetName val="est_(2)6"/>
      <sheetName val="Abstract_(2)6"/>
      <sheetName val="key_(2)6"/>
      <sheetName val="pro-B_(2)6"/>
      <sheetName val="est__(mord)6"/>
      <sheetName val="est(old)_6"/>
      <sheetName val="6_5%6"/>
      <sheetName val="Abs_PMRL"/>
      <sheetName val="basdat"/>
      <sheetName val="Abs PMRL"/>
      <sheetName val="dlvoid"/>
      <sheetName val="int-Dia"/>
      <sheetName val="labour &amp; Centering"/>
      <sheetName val="labour coeff"/>
      <sheetName val="dBase"/>
      <sheetName val="SubAnalysis"/>
      <sheetName val="data_existing_do_not_delete"/>
      <sheetName val="Estimate_10_00_Lakhs_"/>
      <sheetName val="abs_road"/>
      <sheetName val="Road_data"/>
      <sheetName val="Specification_report"/>
      <sheetName val="Common_"/>
      <sheetName val="LOCAL RATES"/>
      <sheetName val="Main"/>
      <sheetName val="GN-ST-10"/>
      <sheetName val="sg-clay(d)"/>
      <sheetName val="Design of two-way slab"/>
      <sheetName val="INPUT-DATA"/>
      <sheetName val="slab"/>
      <sheetName val="basic-data"/>
      <sheetName val="Masonry"/>
      <sheetName val="Bridge Data 2005-06"/>
      <sheetName val="SSR 2010-11 Rates"/>
      <sheetName val="DISCOUNT"/>
      <sheetName val="Rates SSR 2008-09"/>
      <sheetName val=" data sheet "/>
      <sheetName val="Lookup"/>
      <sheetName val="Data_Bit_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ow r="4">
          <cell r="D4">
            <v>137</v>
          </cell>
        </row>
        <row r="8">
          <cell r="D8">
            <v>137</v>
          </cell>
        </row>
      </sheetData>
      <sheetData sheetId="4" refreshError="1"/>
      <sheetData sheetId="5" refreshError="1"/>
      <sheetData sheetId="6">
        <row r="38">
          <cell r="D38" t="str">
            <v>Input Rate</v>
          </cell>
        </row>
        <row r="42">
          <cell r="D42">
            <v>13875.8</v>
          </cell>
        </row>
        <row r="43">
          <cell r="D43" t="str">
            <v>Input Rate</v>
          </cell>
        </row>
        <row r="54">
          <cell r="D54" t="str">
            <v>Input Rate</v>
          </cell>
        </row>
        <row r="68">
          <cell r="D68" t="str">
            <v>Input Rate</v>
          </cell>
        </row>
        <row r="96">
          <cell r="D96" t="str">
            <v>Input Rate</v>
          </cell>
        </row>
        <row r="129">
          <cell r="D129">
            <v>29500</v>
          </cell>
        </row>
        <row r="132">
          <cell r="D132" t="str">
            <v>Input Rate</v>
          </cell>
        </row>
        <row r="144">
          <cell r="D144" t="str">
            <v>Input Rate</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Sheet1"/>
      <sheetName val="Contents"/>
      <sheetName val="Plant &amp;  Machinery"/>
      <sheetName val="Labour"/>
      <sheetName val="Material"/>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s>
    <sheetDataSet>
      <sheetData sheetId="0"/>
      <sheetData sheetId="1"/>
      <sheetData sheetId="2"/>
      <sheetData sheetId="3">
        <row r="6">
          <cell r="D6">
            <v>156</v>
          </cell>
        </row>
        <row r="11">
          <cell r="D11">
            <v>156</v>
          </cell>
        </row>
      </sheetData>
      <sheetData sheetId="4">
        <row r="3">
          <cell r="D3" t="str">
            <v>Input Rate</v>
          </cell>
        </row>
        <row r="38">
          <cell r="D38"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29">
          <cell r="D129"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 val="v"/>
      <sheetName val="r"/>
      <sheetName val="Labour"/>
      <sheetName val="Material"/>
      <sheetName val="Plant &amp;  Machinery"/>
      <sheetName val="Iocount"/>
      <sheetName val="MRATES"/>
      <sheetName val="ESTIMATE"/>
      <sheetName val="RMR "/>
      <sheetName val="Data_Bit_I"/>
      <sheetName val="Mp-team 1"/>
      <sheetName val="Sheet9"/>
      <sheetName val="Lead"/>
      <sheetName val="RMR"/>
      <sheetName val="0000000000000"/>
      <sheetName val="Lead statement"/>
      <sheetName val="FF WRK"/>
      <sheetName val="Sheet1 (2)"/>
      <sheetName val="detls"/>
      <sheetName val="Specification"/>
      <sheetName val="sup dat"/>
      <sheetName val="Bridge Data 2005-06"/>
      <sheetName val="Lead-2014-15"/>
      <sheetName val="Specification report"/>
      <sheetName val="Road Detail Est."/>
      <sheetName val="MRoad data"/>
      <sheetName val="labour &amp; Centering"/>
      <sheetName val="hdpe-rates"/>
      <sheetName val="hdpe weights"/>
      <sheetName val="ssr-rates"/>
      <sheetName val="pvc-rates"/>
      <sheetName val="PVC weights"/>
      <sheetName val="mlead"/>
      <sheetName val="abs road"/>
      <sheetName val="R_Det"/>
      <sheetName val="Road data"/>
      <sheetName val="dBase"/>
      <sheetName val="work_sheet"/>
      <sheetName val="ABS"/>
      <sheetName val="Est_KB"/>
      <sheetName val="Sheet1"/>
      <sheetName val="beam-reinft"/>
      <sheetName val="Sheet3"/>
      <sheetName val="Det.SC2"/>
      <sheetName val="Main sheet"/>
      <sheetName val="DATA-BASE"/>
      <sheetName val="DATA-ABSTRACT"/>
      <sheetName val="Usage"/>
      <sheetName val="Common "/>
      <sheetName val="General"/>
      <sheetName val="maya"/>
      <sheetName val="coverpage"/>
      <sheetName val="Lead (Final)"/>
      <sheetName val="Lead (2)"/>
      <sheetName val="culvert_(2)"/>
      <sheetName val="culvert_(3)"/>
      <sheetName val="CS_(2)"/>
      <sheetName val="Plant_&amp;__Machinery"/>
      <sheetName val="RMR_"/>
      <sheetName val="culvert_(2)1"/>
      <sheetName val="culvert_(3)1"/>
      <sheetName val="CS_(2)1"/>
      <sheetName val="Plant_&amp;__Machinery1"/>
      <sheetName val="RMR_1"/>
      <sheetName val="C.D.Abs.Est."/>
      <sheetName val="INPUT-SHEET"/>
      <sheetName val="other rates"/>
      <sheetName val="Levels"/>
      <sheetName val="59"/>
      <sheetName val="labour-16-17"/>
      <sheetName val="lead-st"/>
      <sheetName val="rdamdata"/>
      <sheetName val="quarry"/>
      <sheetName val="C-data"/>
      <sheetName val="Data Road"/>
      <sheetName val="NonSSR"/>
      <sheetName val="Longitudinal"/>
      <sheetName val="m1"/>
      <sheetName val="l"/>
      <sheetName val="m"/>
      <sheetName val="PLAN_FEB97"/>
      <sheetName val="GA"/>
      <sheetName val="WATER-HAMMER"/>
      <sheetName val="Bitumen trunk"/>
      <sheetName val="Feeder"/>
      <sheetName val="R99 etc"/>
      <sheetName val="Trunk unpaved"/>
      <sheetName val="Lookup"/>
      <sheetName val="Rates SSR 2008-09"/>
      <sheetName val="PRECAST lightconc-II"/>
      <sheetName val="FORM7"/>
      <sheetName val="p&amp;m"/>
      <sheetName val="Superstruc"/>
      <sheetName val="SSR07-08"/>
      <sheetName val="Publicbuilding"/>
      <sheetName val="Main"/>
      <sheetName val="Lead 2014-15"/>
      <sheetName val="Data_Base"/>
      <sheetName val="HDPE"/>
      <sheetName val="Sheet2"/>
      <sheetName val="Design"/>
      <sheetName val="data existing_do not delete"/>
      <sheetName val="Mp-team_1"/>
      <sheetName val="Lead_statement"/>
      <sheetName val="FF_WRK"/>
      <sheetName val="Sheet1_(2)"/>
      <sheetName val="sup_dat"/>
      <sheetName val="Bridge_Data_2005-06"/>
      <sheetName val="Specification_report"/>
      <sheetName val="Road_Detail_Est_"/>
      <sheetName val="MRoad_data"/>
      <sheetName val="labour_&amp;_Centering"/>
      <sheetName val="hdpe_weights"/>
      <sheetName val="PVC_weights"/>
      <sheetName val="abs_road"/>
      <sheetName val="Road_data"/>
      <sheetName val="Det_SC2"/>
      <sheetName val="Main_sheet"/>
      <sheetName val="Rates_SSR_2008-09"/>
      <sheetName val="Bitumen_trunk"/>
      <sheetName val="R99_etc"/>
      <sheetName val="Trunk_unpaved"/>
      <sheetName val="PS1"/>
      <sheetName val="Nspt-smp-final-ORIGINAL"/>
      <sheetName val="Global factors"/>
      <sheetName val="OverviewBarmer"/>
      <sheetName val="GN-ST-10"/>
      <sheetName val="slab"/>
      <sheetName val="Staff Acco."/>
      <sheetName val="Lead sheet"/>
      <sheetName val="HDPE-pipe-rates"/>
      <sheetName val="pvc-pipe-rates"/>
      <sheetName val="Data.F8.BTR"/>
      <sheetName val="cert"/>
      <sheetName val="BWSCPlt"/>
      <sheetName val="CI"/>
      <sheetName val="DI"/>
      <sheetName val="G.R.P"/>
      <sheetName val="PSC REVISED"/>
      <sheetName val="pvc"/>
      <sheetName val="Line"/>
      <sheetName val="FB - 1L"/>
      <sheetName val="Sheet5"/>
      <sheetName val="temp-SDData (2)"/>
      <sheetName val="id"/>
      <sheetName val="basdat-f"/>
      <sheetName val="lead charges"/>
      <sheetName val="not req 3"/>
      <sheetName val="TS memo"/>
      <sheetName val="Lead Chat"/>
      <sheetName val="Rd.Det.Est"/>
      <sheetName val="Data-2010-11"/>
      <sheetName val="index"/>
      <sheetName val="Rates"/>
      <sheetName val="int dia (2)"/>
      <sheetName val="DATA SHEET"/>
      <sheetName val="BTR"/>
      <sheetName val="SUMP1420KL@HW"/>
      <sheetName val="RTS memo"/>
      <sheetName val="GenAbst"/>
      <sheetName val="Det Est"/>
      <sheetName val="speci"/>
      <sheetName val="Comp stateMGNREGS"/>
      <sheetName val="EST MGNREGS"/>
      <sheetName val="t_prsr"/>
      <sheetName val="Data base"/>
      <sheetName val="FIRST"/>
      <sheetName val="NALA-LS"/>
      <sheetName val="X-BOX HYD"/>
      <sheetName val="X-TRAIL PIT DETAILS"/>
      <sheetName val="X-BLOCK LEVELS"/>
      <sheetName val="MACRO-BACK UP"/>
      <sheetName val="Side walls (earth)"/>
      <sheetName val="Activity No (A) ( 12)  "/>
      <sheetName val="Culverts"/>
      <sheetName val="Material "/>
      <sheetName val="SLAB DESIGN"/>
      <sheetName val="Av.G Level"/>
      <sheetName val="Leads 08-09"/>
      <sheetName val="habs-list"/>
      <sheetName val="int-Dia"/>
      <sheetName val="nodes"/>
      <sheetName val="prjt"/>
      <sheetName val="Scheme Area Details_Block__ C2"/>
      <sheetName val="app2"/>
      <sheetName val="KEOLARI"/>
      <sheetName val="Hamlet_Data_2300"/>
      <sheetName val="ELE "/>
      <sheetName val="(4)F-81 Exp.side"/>
      <sheetName val="New33KVSS_E3"/>
      <sheetName val="Prop aug of Ex 33KVSS_E3a"/>
      <sheetName val="Sheet6"/>
      <sheetName val="SCHEMATIC-EX&amp;PR"/>
      <sheetName val="Sheet11"/>
      <sheetName val="STAMT"/>
      <sheetName val="BASE_ALL"/>
      <sheetName val="EST"/>
      <sheetName val="Estt"/>
      <sheetName val="QTY"/>
      <sheetName val="JACKWELL"/>
      <sheetName val="01-DATA INPUT"/>
      <sheetName val="INPUT SHEET"/>
      <sheetName val="RES-PLANNING"/>
      <sheetName val="Macro1"/>
      <sheetName val="Sheet3-1"/>
      <sheetName val="DISCOU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C3">
            <v>0</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Lead"/>
      <sheetName val="Data"/>
      <sheetName val="drain rm data"/>
      <sheetName val="LOWEST RATES"/>
      <sheetName val="leads"/>
      <sheetName val="drain_rm_data"/>
      <sheetName val="LOWEST_RATES"/>
      <sheetName val="drain_rm_data1"/>
      <sheetName val="LOWEST_RATES1"/>
      <sheetName val="Labour"/>
      <sheetName val="Material"/>
      <sheetName val="Plant &amp;  Machinery"/>
      <sheetName val="Lookup"/>
      <sheetName val="drain_rm_data2"/>
      <sheetName val="LOWEST_RATES2"/>
      <sheetName val="Plant_&amp;__Machinery"/>
      <sheetName val="0000000000000"/>
      <sheetName val="ESTIMATE"/>
      <sheetName val="maya"/>
      <sheetName val="abs road"/>
      <sheetName val="Road data"/>
      <sheetName val="Data_Bit_I"/>
      <sheetName val="R_Det"/>
      <sheetName val="Sheet1 (2)"/>
      <sheetName val="v"/>
      <sheetName val="Sheet1"/>
      <sheetName val="sectorwise"/>
      <sheetName val="Nspt-smp-final-ORIGINAL"/>
      <sheetName val="r"/>
      <sheetName val="mlead"/>
      <sheetName val="Plant 㫨  Machinery"/>
      <sheetName val="Plant_㫨__Machinery"/>
      <sheetName val="banilad"/>
      <sheetName val="Quarry"/>
      <sheetName val="Design_abf"/>
      <sheetName val="Pipe Areas"/>
      <sheetName val="Elc.Stnd.Data-18-19-final "/>
      <sheetName val="Convey"/>
      <sheetName val="m"/>
      <sheetName val="COVER"/>
      <sheetName val="final abstract"/>
      <sheetName val="rdamdata"/>
      <sheetName val="lead-st"/>
      <sheetName val="Levels"/>
      <sheetName val="hdpe weights"/>
      <sheetName val="HS 1 BPT (2)all bpts"/>
      <sheetName val="Elc.Stnd.Data-17-18 "/>
      <sheetName val="Rates"/>
      <sheetName val="Av.G Level"/>
      <sheetName val="Sheet2"/>
      <sheetName val="MRATES"/>
      <sheetName val="GROUND"/>
      <sheetName val="SECOND"/>
      <sheetName val="data existing_do not delete"/>
      <sheetName val="Flight-1"/>
      <sheetName val="Road Detail Est."/>
      <sheetName val="drain_rm_data3"/>
      <sheetName val="LOWEST_RATES3"/>
      <sheetName val="Plant_&amp;__Machinery1"/>
      <sheetName val="abs_road"/>
      <sheetName val="Road_data"/>
      <sheetName val="drain_rm_data4"/>
      <sheetName val="LOWEST_RATES4"/>
      <sheetName val="Plant_&amp;__Machinery2"/>
      <sheetName val="abs_road1"/>
      <sheetName val="Road_data1"/>
      <sheetName val="CD Data"/>
      <sheetName val="Sheet1_(2)"/>
      <sheetName val="ssr-rates"/>
      <sheetName val="Sheet3"/>
      <sheetName val="nodes"/>
      <sheetName val="ww-march-02"/>
      <sheetName val="Elc.Stnd.Data-18-19"/>
      <sheetName val="labour &amp; Centering"/>
      <sheetName val="GA"/>
      <sheetName val="Data 07-08 "/>
      <sheetName val="Rate Analysis"/>
      <sheetName val="Part-A"/>
      <sheetName val="Elc.Stnd.Data-17-18-final "/>
      <sheetName val="HEAD"/>
      <sheetName val="Input"/>
      <sheetName val="elect."/>
      <sheetName val="DETAILED  BOQ"/>
      <sheetName val="steel SF (slab-2)"/>
      <sheetName val="Cut Off Statement"/>
      <sheetName val="Lead-2014-15"/>
      <sheetName val="LEAD STATEMENT"/>
      <sheetName val="l"/>
      <sheetName val="HDPE-pipe-rates"/>
      <sheetName val="pvc-pipe-rates"/>
      <sheetName val="Specification"/>
      <sheetName val="Road data.PS"/>
      <sheetName val="eligibilty"/>
      <sheetName val="RMR"/>
      <sheetName val="Sheet1_(2)1"/>
      <sheetName val="Plant_㫨__Machinery1"/>
      <sheetName val="Pipe_Areas"/>
      <sheetName val="Elc_Stnd_Data-18-19-final_"/>
      <sheetName val="Elc_Stnd_Data-17-18_"/>
      <sheetName val="Av_G_Level"/>
      <sheetName val="CD_Data"/>
      <sheetName val="coverpage"/>
      <sheetName val="habs-list"/>
      <sheetName val="int-Dia"/>
      <sheetName val="Elc.data-20-21"/>
      <sheetName val="data- Civil"/>
      <sheetName val="2a.Est. Drainage System"/>
      <sheetName val="data- MS Gates &amp; Grills"/>
      <sheetName val="MS-Truss data"/>
      <sheetName val="Lead 09-10"/>
      <sheetName val="PLAN_FEB97"/>
      <sheetName val="detls"/>
      <sheetName val="Bitumen trunk"/>
      <sheetName val="Feeder"/>
      <sheetName val="R99 etc"/>
      <sheetName val="Trunk unpaved"/>
      <sheetName val="DATA_PRG"/>
      <sheetName val="HS final-2"/>
      <sheetName val="FORM7"/>
      <sheetName val="Sheet5"/>
      <sheetName val="Data o"/>
      <sheetName val="int-Dia-hdpe"/>
      <sheetName val="data1"/>
      <sheetName val="TS memo"/>
      <sheetName val="stone"/>
      <sheetName val="index"/>
      <sheetName val="narsib~1"/>
      <sheetName val="SUMP1420KL@HW"/>
      <sheetName val="HS 30.04.2015.Final"/>
      <sheetName val="ID"/>
      <sheetName val="HDPE"/>
      <sheetName val="Sheet9"/>
      <sheetName val="HS 1"/>
      <sheetName val="zone-8"/>
      <sheetName val="MHNO_LEV"/>
      <sheetName val="ewst"/>
      <sheetName val="3405-2014"/>
      <sheetName val="wh_data_R"/>
      <sheetName val="wh_data"/>
      <sheetName val="CPHEEO"/>
      <sheetName val="SPT vs PHI"/>
      <sheetName val="Abs"/>
      <sheetName val="DATA-BASE"/>
      <sheetName val="DATA-ABSTRACT"/>
      <sheetName val="PVC"/>
      <sheetName val="Detailed"/>
      <sheetName val="Wordsdata"/>
      <sheetName val="segments-details"/>
      <sheetName val="int-Dia-pvc"/>
      <sheetName val="mlead "/>
      <sheetName val="dBase"/>
      <sheetName val="PROCTOR"/>
      <sheetName val="Mp-team 1"/>
      <sheetName val="Staff Acco."/>
      <sheetName val="mas_hab"/>
      <sheetName val="Iocount"/>
      <sheetName val="C.D.Abs.Est."/>
      <sheetName val="t_prsr"/>
      <sheetName val="wh"/>
      <sheetName val="INPUT-SHEET"/>
      <sheetName val="other rates"/>
      <sheetName val="Lead  RATES"/>
      <sheetName val="em"/>
      <sheetName val="DI"/>
      <sheetName val="data.f8.btr"/>
      <sheetName val="DATA SHEET"/>
      <sheetName val="Habcodes"/>
      <sheetName val="RAFT"/>
      <sheetName val="ABUT"/>
      <sheetName val="SSR 2015-16"/>
      <sheetName val="sand"/>
      <sheetName val="WATER-HAMMER"/>
      <sheetName val="BWSCPlt"/>
      <sheetName val="CI"/>
      <sheetName val="G.R.P"/>
      <sheetName val="PSC REVISED"/>
      <sheetName val="mroad data"/>
      <sheetName val="Data rough"/>
      <sheetName val="PVC weights"/>
      <sheetName val="Lead Distance"/>
      <sheetName val="ppraodata"/>
      <sheetName val="splmidata"/>
      <sheetName val="not req 3"/>
      <sheetName val="AoR Finishing"/>
      <sheetName val="M.R.O"/>
      <sheetName val="Works"/>
      <sheetName val="General"/>
    </sheetNames>
    <sheetDataSet>
      <sheetData sheetId="0" refreshError="1">
        <row r="7">
          <cell r="N7">
            <v>2424</v>
          </cell>
        </row>
        <row r="9">
          <cell r="N9">
            <v>431.64499999999998</v>
          </cell>
        </row>
        <row r="28">
          <cell r="N28">
            <v>340.47500000000002</v>
          </cell>
        </row>
      </sheetData>
      <sheetData sheetId="1"/>
      <sheetData sheetId="2"/>
      <sheetData sheetId="3"/>
      <sheetData sheetId="4" refreshError="1"/>
      <sheetData sheetId="5"/>
      <sheetData sheetId="6"/>
      <sheetData sheetId="7"/>
      <sheetData sheetId="8"/>
      <sheetData sheetId="9" refreshError="1"/>
      <sheetData sheetId="10" refreshError="1"/>
      <sheetData sheetId="11" refreshError="1"/>
      <sheetData sheetId="12"/>
      <sheetData sheetId="13"/>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Plant _  Machinery"/>
      <sheetName val="L040"/>
      <sheetName val="DATA"/>
      <sheetName val="Iocount"/>
      <sheetName val="int-Dia-pvc"/>
      <sheetName val="INPUT SHEET"/>
      <sheetName val="RES-PLANNING"/>
      <sheetName val="Macro1"/>
      <sheetName val="m"/>
      <sheetName val="leads"/>
      <sheetName val="FORM7"/>
      <sheetName val="Sheet5"/>
      <sheetName val="MRoad data"/>
      <sheetName val="DATA_PRG"/>
      <sheetName val="ESTIMATE"/>
      <sheetName val="id"/>
      <sheetName val="t_prsr"/>
      <sheetName val="ABS"/>
      <sheetName val="int-Dia-hdpe"/>
      <sheetName val="pvc"/>
      <sheetName val="ewst"/>
      <sheetName val="Road Detail Est."/>
      <sheetName val="detls"/>
      <sheetName val="MRATES"/>
      <sheetName val="PVC_dia"/>
      <sheetName val="Lead"/>
      <sheetName val="hdpe weights"/>
      <sheetName val="PVC weights"/>
      <sheetName val="index"/>
      <sheetName val="Activity No (A) ( 12)  "/>
      <sheetName val="maya"/>
      <sheetName val="Data_Bit_I"/>
      <sheetName val="nodes"/>
      <sheetName val="int-Dia"/>
      <sheetName val="habs-list"/>
      <sheetName val="HDPE"/>
      <sheetName val="DI"/>
      <sheetName val="Sheet1 (2)"/>
      <sheetName val="Main sheet"/>
      <sheetName val="DataInput"/>
      <sheetName val="DataInput-1"/>
      <sheetName val="DI Rate Analysis"/>
      <sheetName val="Economic RisingMain  Ph-I"/>
      <sheetName val="v"/>
      <sheetName val="lead-st"/>
      <sheetName val="rdamdata"/>
      <sheetName val="Lead  RATES"/>
      <sheetName val="FB - 1L"/>
      <sheetName val="Rates"/>
      <sheetName val="JAWAHAR-hyd-original"/>
      <sheetName val="Pop"/>
      <sheetName val="hdpe_basic"/>
      <sheetName val="pvc_basic"/>
      <sheetName val="hdpe-rates"/>
      <sheetName val="pvc-rates"/>
      <sheetName val="r"/>
      <sheetName val="RMR"/>
      <sheetName val="detailed"/>
      <sheetName val="Nspt-smp-final-ORIGINAL"/>
      <sheetName val="Specification"/>
      <sheetName val="0000000000000"/>
      <sheetName val="2.0m  slab"/>
      <sheetName val="temp-SDData (2)"/>
    </sheetNames>
    <sheetDataSet>
      <sheetData sheetId="0" refreshError="1"/>
      <sheetData sheetId="1" refreshError="1"/>
      <sheetData sheetId="2" refreshError="1"/>
      <sheetData sheetId="3" refreshError="1"/>
      <sheetData sheetId="4" refreshError="1">
        <row r="3">
          <cell r="D3">
            <v>93.6</v>
          </cell>
        </row>
        <row r="10">
          <cell r="D10" t="str">
            <v>Input Rate</v>
          </cell>
        </row>
        <row r="11">
          <cell r="D11" t="str">
            <v>Input Rate</v>
          </cell>
        </row>
        <row r="12">
          <cell r="D12" t="str">
            <v>Input Rate</v>
          </cell>
        </row>
        <row r="13">
          <cell r="D13" t="str">
            <v>Input Rate</v>
          </cell>
        </row>
        <row r="20">
          <cell r="D20" t="str">
            <v>Input Rate</v>
          </cell>
        </row>
        <row r="21">
          <cell r="D21" t="str">
            <v>Input Rate</v>
          </cell>
        </row>
        <row r="22">
          <cell r="D22" t="str">
            <v>Input Rate</v>
          </cell>
        </row>
        <row r="23">
          <cell r="D23" t="str">
            <v>Input Rate</v>
          </cell>
        </row>
        <row r="24">
          <cell r="D24">
            <v>411.41</v>
          </cell>
        </row>
        <row r="25">
          <cell r="D25">
            <v>519.51</v>
          </cell>
        </row>
        <row r="30">
          <cell r="D30" t="str">
            <v>Input Rate</v>
          </cell>
        </row>
        <row r="32">
          <cell r="D32" t="str">
            <v>Input Rate</v>
          </cell>
        </row>
        <row r="33">
          <cell r="D33" t="str">
            <v>Input Rate</v>
          </cell>
        </row>
        <row r="34">
          <cell r="D34" t="str">
            <v>Input Rate</v>
          </cell>
        </row>
        <row r="35">
          <cell r="D35" t="str">
            <v>Input Rate</v>
          </cell>
        </row>
        <row r="36">
          <cell r="D36">
            <v>22</v>
          </cell>
        </row>
        <row r="37">
          <cell r="D37">
            <v>38.5</v>
          </cell>
        </row>
        <row r="63">
          <cell r="D63" t="str">
            <v>Input Rate</v>
          </cell>
        </row>
        <row r="85">
          <cell r="D85" t="str">
            <v>Input Rate</v>
          </cell>
        </row>
        <row r="86">
          <cell r="D86" t="str">
            <v>Input Rate</v>
          </cell>
        </row>
        <row r="87">
          <cell r="D87" t="str">
            <v>Input Rate</v>
          </cell>
        </row>
        <row r="151">
          <cell r="D151" t="str">
            <v>Input Rate</v>
          </cell>
        </row>
        <row r="152">
          <cell r="D152" t="str">
            <v>Input Rate</v>
          </cell>
        </row>
        <row r="153">
          <cell r="D153" t="str">
            <v>Input Rate</v>
          </cell>
        </row>
        <row r="154">
          <cell r="D154">
            <v>261.2</v>
          </cell>
        </row>
        <row r="155">
          <cell r="D155">
            <v>548.20000000000005</v>
          </cell>
        </row>
        <row r="156">
          <cell r="D156">
            <v>364.21</v>
          </cell>
        </row>
        <row r="157">
          <cell r="D157" t="str">
            <v>Input Rate</v>
          </cell>
        </row>
        <row r="158">
          <cell r="D158" t="str">
            <v>Input Rate</v>
          </cell>
        </row>
        <row r="159">
          <cell r="D159" t="str">
            <v>Input Rate</v>
          </cell>
        </row>
        <row r="160">
          <cell r="D160" t="str">
            <v>Input Rate</v>
          </cell>
        </row>
        <row r="161">
          <cell r="D161" t="str">
            <v>Input Rate</v>
          </cell>
        </row>
        <row r="162">
          <cell r="D162"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Plant_&amp;__Machinery"/>
      <sheetName val="Summary_of_Rates"/>
      <sheetName val="Basic_Approach"/>
      <sheetName val="Plant_&amp;__Machinery1"/>
      <sheetName val="Summary_of_Rates1"/>
      <sheetName val="Basic_Approach1"/>
      <sheetName val="Lead"/>
      <sheetName val="ESTIMATE"/>
      <sheetName val="DATA"/>
      <sheetName val="Plant_&amp;__Machinery5"/>
      <sheetName val="Summary_of_Rates5"/>
      <sheetName val="Basic_Approach5"/>
      <sheetName val="Plant_&amp;__Machinery3"/>
      <sheetName val="Summary_of_Rates3"/>
      <sheetName val="Basic_Approach3"/>
      <sheetName val="Plant_&amp;__Machinery2"/>
      <sheetName val="Summary_of_Rates2"/>
      <sheetName val="Basic_Approach2"/>
      <sheetName val="Plant_&amp;__Machinery4"/>
      <sheetName val="Summary_of_Rates4"/>
      <sheetName val="Basic_Approach4"/>
      <sheetName val="pvc"/>
      <sheetName val="leads"/>
      <sheetName val="Specification report"/>
      <sheetName val="Data_Bit_I"/>
      <sheetName val="habs-list"/>
      <sheetName val="nodes"/>
      <sheetName val="MRATES"/>
      <sheetName val="m"/>
      <sheetName val="Road data"/>
      <sheetName val="Global factors"/>
      <sheetName val="lead-st"/>
      <sheetName val="rdamdata"/>
      <sheetName val="Lookup"/>
      <sheetName val="Plant _  Machinery"/>
      <sheetName val="abs road"/>
      <sheetName val="materials"/>
      <sheetName val="ssr-rates"/>
      <sheetName val="detls"/>
      <sheetName val="r"/>
      <sheetName val="l"/>
      <sheetName val="Data_Base"/>
      <sheetName val="Levels"/>
      <sheetName val="maya"/>
      <sheetName val="Data-ELSR"/>
      <sheetName val="Mortars"/>
      <sheetName val=" Data -Valves"/>
      <sheetName val="PRECAST lightconc-II"/>
      <sheetName val="v"/>
      <sheetName val="Nspt-smp-final-ORIGINAL"/>
      <sheetName val="Elc.Stnd.Data-17-18 "/>
      <sheetName val="RCC-Rates"/>
      <sheetName val="data-WC"/>
      <sheetName val="hdpe weights"/>
      <sheetName val="PVC weights"/>
      <sheetName val="index"/>
      <sheetName val="RMR"/>
      <sheetName val="Quarry"/>
      <sheetName val="Data.F8.BTR"/>
    </sheetNames>
    <sheetDataSet>
      <sheetData sheetId="0" refreshError="1"/>
      <sheetData sheetId="1" refreshError="1"/>
      <sheetData sheetId="2" refreshError="1">
        <row r="4">
          <cell r="G4">
            <v>196</v>
          </cell>
        </row>
        <row r="10">
          <cell r="G10">
            <v>692</v>
          </cell>
        </row>
        <row r="19">
          <cell r="G19">
            <v>230</v>
          </cell>
        </row>
        <row r="21">
          <cell r="G21">
            <v>1700</v>
          </cell>
        </row>
      </sheetData>
      <sheetData sheetId="3" refreshError="1"/>
      <sheetData sheetId="4" refreshError="1">
        <row r="4">
          <cell r="D4" t="str">
            <v>Input Rate</v>
          </cell>
        </row>
        <row r="14">
          <cell r="D14" t="str">
            <v>Input Rate</v>
          </cell>
        </row>
        <row r="15">
          <cell r="D15" t="str">
            <v>Input Rate</v>
          </cell>
        </row>
        <row r="16">
          <cell r="D16" t="str">
            <v>Input Rate</v>
          </cell>
        </row>
        <row r="64">
          <cell r="D64"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DATA"/>
      <sheetName val="DESIGEN_RCC_CULVERT"/>
      <sheetName val="DESIGENS_HP_CULVERT"/>
      <sheetName val="Material"/>
      <sheetName val="Plant &amp;  Machinery"/>
      <sheetName val="Rates"/>
      <sheetName val=" datas"/>
      <sheetName val="Lead"/>
      <sheetName val="Labour"/>
    </sheetNames>
    <sheetDataSet>
      <sheetData sheetId="0" refreshError="1">
        <row r="67">
          <cell r="H67">
            <v>1410.4611040000002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r"/>
      <sheetName val="Material"/>
      <sheetName val="Plant &amp;  Machinery"/>
      <sheetName val="RMR"/>
      <sheetName val="Specification"/>
      <sheetName val="Leads"/>
      <sheetName val="maya"/>
      <sheetName val="l"/>
      <sheetName val="Road data"/>
      <sheetName val="Lead  RATES"/>
      <sheetName val="Lead statement"/>
      <sheetName val="MRATES"/>
      <sheetName val="DATA"/>
      <sheetName val="Sheet3"/>
      <sheetName val="coverpage"/>
      <sheetName val="Usage"/>
      <sheetName val="mas_hab"/>
      <sheetName val="ESTIMATE"/>
      <sheetName val="t_prsr"/>
      <sheetName val="wh"/>
      <sheetName val="detls"/>
      <sheetName val="GF SB Ok "/>
      <sheetName val="m1"/>
      <sheetName val="Labour"/>
      <sheetName val="sch"/>
      <sheetName val="sectorwise"/>
      <sheetName val="Lead"/>
      <sheetName val="Levels_(2)"/>
      <sheetName val="Levels_(2)1"/>
      <sheetName val="cover (2)"/>
      <sheetName val="Levels_(2)5"/>
      <sheetName val="Plant_&amp;__Machinery2"/>
      <sheetName val="Road_data2"/>
      <sheetName val="Lead__RATES2"/>
      <sheetName val="Lead_statement2"/>
      <sheetName val="GF_SB_Ok_2"/>
      <sheetName val="Levels_(2)3"/>
      <sheetName val="Levels_(2)2"/>
      <sheetName val="Plant_&amp;__Machinery"/>
      <sheetName val="Road_data"/>
      <sheetName val="Lead__RATES"/>
      <sheetName val="Lead_statement"/>
      <sheetName val="GF_SB_Ok_"/>
      <sheetName val="Levels_(2)4"/>
      <sheetName val="Plant_&amp;__Machinery1"/>
      <sheetName val="Road_data1"/>
      <sheetName val="Lead__RATES1"/>
      <sheetName val="Lead_statement1"/>
      <sheetName val="GF_SB_Ok_1"/>
      <sheetName val="EDWise"/>
      <sheetName val="DATA-BASE"/>
      <sheetName val="DATA-ABSTRACT"/>
      <sheetName val="MS Rates"/>
      <sheetName val="Valves"/>
      <sheetName val="Rates SSR 2008-09"/>
      <sheetName val="Data_Bit_I"/>
      <sheetName val="Sheet2"/>
      <sheetName val="hdpe-rates"/>
      <sheetName val="hdpe weights"/>
      <sheetName val="ssr-rates"/>
      <sheetName val="pvc-rates"/>
      <sheetName val="PVC weights"/>
      <sheetName val="GEN-ABS Del"/>
      <sheetName val="p&amp;m"/>
      <sheetName val="segments-details"/>
      <sheetName val="int-Dia-hdpe"/>
      <sheetName val="habs-list"/>
      <sheetName val="int-Dia-pvc"/>
      <sheetName val="HDPE-pipe-rates"/>
      <sheetName val="pvc-pipe-rates"/>
      <sheetName val="v"/>
      <sheetName val="Nspt-smp-final-ORIGINAL"/>
      <sheetName val="Timesheet"/>
      <sheetName val="Bridge Data 2005-06"/>
      <sheetName val="RAFT"/>
      <sheetName val="m"/>
      <sheetName val="Data Road Rev"/>
      <sheetName val="Road Detail Est."/>
      <sheetName val="BOQ - Plng"/>
      <sheetName val="int-Dia"/>
      <sheetName val="Rates"/>
      <sheetName val="HDPE"/>
      <sheetName val="CI"/>
      <sheetName val="index"/>
      <sheetName val="temp-SDData (2)"/>
      <sheetName val="Convey"/>
      <sheetName val="Data.F8.BTR"/>
      <sheetName val="abs road"/>
      <sheetName val="Motor Data"/>
      <sheetName val="Lead statement ss5"/>
      <sheetName val="M.R.O"/>
      <sheetName val="COVER"/>
      <sheetName val="data existing_do not delete"/>
      <sheetName val="wh_data_R"/>
      <sheetName val="wh_data"/>
      <sheetName val="CPHEEO"/>
      <sheetName val="Input"/>
      <sheetName val="REVISED"/>
      <sheetName val="estimate "/>
      <sheetName val="Common "/>
      <sheetName val="DI"/>
      <sheetName val="pvc"/>
      <sheetName val="R_Det"/>
      <sheetName val="Data 07-08 "/>
      <sheetName val="sup dat"/>
      <sheetName val="data-sheet"/>
      <sheetName val="Boq"/>
      <sheetName val="DATA_PRG"/>
      <sheetName val="hdpe_basic"/>
      <sheetName val="pvc_basic"/>
      <sheetName val="sg-clay(d)"/>
      <sheetName val="DI PIPE"/>
      <sheetName val="RUBBER GASKETS"/>
      <sheetName val="Levels_(2)6"/>
      <sheetName val="Plant_&amp;__Machinery3"/>
      <sheetName val="Road_data3"/>
      <sheetName val="Lead__RATES3"/>
      <sheetName val="Lead_statement3"/>
      <sheetName val="GF_SB_Ok_3"/>
      <sheetName val="AoR_Finishing"/>
      <sheetName val="Rate"/>
      <sheetName val="Data_Base"/>
      <sheetName val="Lead 09-10"/>
      <sheetName val="WATER-HAMMER"/>
      <sheetName val="labour &amp; Hire-20-21"/>
      <sheetName val="C-Mat"/>
      <sheetName val="Detailed"/>
      <sheetName val="conc-foot-gradeslab"/>
      <sheetName val="Rates_SSR_2008-09"/>
      <sheetName val="hdpe_weights"/>
      <sheetName val="PVC_weights"/>
      <sheetName val="GEN-ABS_Del"/>
      <sheetName val="MS_Rates"/>
      <sheetName val="cover_(2)"/>
      <sheetName val="Bridge_Data_2005-06"/>
      <sheetName val="Data_Road_Rev"/>
      <sheetName val="estimate_"/>
      <sheetName val="Common_"/>
      <sheetName val="data_existing_do_not_delete"/>
      <sheetName val="Gen.Abs."/>
      <sheetName val="Data base"/>
      <sheetName val="소상 &quot;1&quot;"/>
      <sheetName val="Longitudinal"/>
      <sheetName val="pile rec(N Max tr)"/>
      <sheetName val="Sheet1"/>
      <sheetName val="Summary"/>
      <sheetName val="Line"/>
      <sheetName val="Concrete_D."/>
      <sheetName val="Economic RisingMain  Ph-I"/>
      <sheetName val="Improvements"/>
      <sheetName val="mlead"/>
      <sheetName val="ABS"/>
      <sheetName val="Masonry"/>
      <sheetName val="labour coeff"/>
      <sheetName val="Variables_x"/>
      <sheetName val="water-hammar-strenght"/>
      <sheetName val="rdamdata"/>
      <sheetName val="lead-st"/>
      <sheetName val="PVC_dia"/>
      <sheetName val="0000000000000"/>
      <sheetName val="DISCOUNT"/>
      <sheetName val="Global factors"/>
      <sheetName val="quarry"/>
      <sheetName val="Iocount"/>
      <sheetName val="BASIC RATES"/>
      <sheetName val="MRoad data"/>
      <sheetName val="Letter"/>
      <sheetName val="Load Details-220kV"/>
      <sheetName val="Approved MTD Proj #'s"/>
      <sheetName val="Project Budget Worksheet"/>
      <sheetName val=" datas"/>
      <sheetName val="labour &amp; Centering"/>
      <sheetName val="Material "/>
      <sheetName val="BTR"/>
      <sheetName val="PS1"/>
      <sheetName val="CD Data"/>
      <sheetName val="Rectangular Beam"/>
      <sheetName val="C-data"/>
      <sheetName val="Lead (Final)"/>
      <sheetName val="Sheet11"/>
      <sheetName val="prjt"/>
      <sheetName val="Hamlet_Data_2300"/>
      <sheetName val="Leads 08-09"/>
      <sheetName val="Av.G Level"/>
      <sheetName val="0+655"/>
      <sheetName val="Labour &amp; Plant"/>
      <sheetName val="nodes"/>
      <sheetName val="Culverts"/>
      <sheetName val="(1)FILL FIRST"/>
      <sheetName val="Stability Abutment"/>
      <sheetName val="03-HYDRAULIC"/>
      <sheetName val="(4)F-81 Exp.side"/>
      <sheetName val="BASE_ALL"/>
      <sheetName val="Sheet5"/>
      <sheetName val="kC"/>
      <sheetName val="INPUT SHEET"/>
      <sheetName val="RES-PLANNING"/>
      <sheetName val="Sheet03"/>
      <sheetName val="A 3.7"/>
      <sheetName val="Ag LF"/>
      <sheetName val="1"/>
    </sheetNames>
    <sheetDataSet>
      <sheetData sheetId="0" refreshError="1"/>
      <sheetData sheetId="1" refreshError="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RMR"/>
      <sheetName val="Road Abst."/>
      <sheetName val="CD works Abst."/>
      <sheetName val="CC drains Abst."/>
      <sheetName val="Road Detail Est."/>
      <sheetName val="CD works detail Est."/>
      <sheetName val="CC drains detail Est."/>
      <sheetName val="Earth work Cal"/>
      <sheetName val="Earth Volume"/>
      <sheetName val="General Abst."/>
      <sheetName val="Lead Statement"/>
      <sheetName val="Road data"/>
      <sheetName val="CD works data"/>
      <sheetName val="data"/>
      <sheetName val="quarry"/>
      <sheetName val="Plant &amp;  Machinery"/>
      <sheetName val="lead-st"/>
      <sheetName val="Lead"/>
      <sheetName val="Levels"/>
      <sheetName val="Material"/>
      <sheetName val="Labour"/>
      <sheetName val="Estimate_Slab"/>
      <sheetName val="Roadlist"/>
      <sheetName val="r"/>
      <sheetName val="detls"/>
      <sheetName val="leads"/>
      <sheetName val="Data.F8.BTR"/>
      <sheetName val="ssr-rates"/>
      <sheetName val="DATA_PRG"/>
      <sheetName val="Estimate"/>
      <sheetName val="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F7-1v1000-0_(3)"/>
      <sheetName val="ABST(PART_B)_"/>
      <sheetName val="F6-Gnrl_Abstrt"/>
      <sheetName val="Cover-MEstt_"/>
      <sheetName val="Road Detail Est."/>
      <sheetName val="Road data"/>
      <sheetName val="cert"/>
      <sheetName val="r"/>
      <sheetName val="WORDS"/>
      <sheetName val="detls"/>
      <sheetName val="Levels"/>
      <sheetName val="Specification"/>
      <sheetName val="Plant &amp;  Machinery"/>
      <sheetName val="F7-1v1000-0_(3)1"/>
      <sheetName val="ABST(PART_B)_1"/>
      <sheetName val="F6-Gnrl_Abstrt1"/>
      <sheetName val="Cover-MEstt_1"/>
      <sheetName val="Road_Detail_Est_"/>
      <sheetName val="Road_data"/>
      <sheetName val="R/ad Detail Est."/>
      <sheetName val="R_ad Detail Est."/>
      <sheetName val="lead-st"/>
      <sheetName val="rdamdata"/>
      <sheetName val="leads"/>
      <sheetName val="pvc-pipe-rates"/>
      <sheetName val="Rate"/>
      <sheetName val="int-Dia-pvc"/>
      <sheetName val=" data sheet "/>
      <sheetName val="t_prsr"/>
      <sheetName val="wh"/>
      <sheetName val="Input"/>
      <sheetName val="sch"/>
      <sheetName val="RMR"/>
      <sheetName val="ssr-rates"/>
      <sheetName val="0000000000000"/>
      <sheetName val="R_Det"/>
      <sheetName val="Material"/>
      <sheetName val="Labour"/>
      <sheetName val="MRATES"/>
      <sheetName val="PVC_dia"/>
      <sheetName val="[Yamanapalli to Mahamutharam (M"/>
      <sheetName val="quarry"/>
      <sheetName val="v"/>
      <sheetName val="LEAD STATEMENT"/>
      <sheetName val="maya"/>
      <sheetName val="Cd"/>
      <sheetName val="Cs"/>
      <sheetName val="CPIPE"/>
      <sheetName val="THK"/>
      <sheetName val="CPIPE 1"/>
      <sheetName val="CABLE DATA"/>
      <sheetName val="m1"/>
      <sheetName val="_Yamanapalli to Mahamutharam (M"/>
      <sheetName val="temp-SDData (2)"/>
      <sheetName val="coverpage"/>
      <sheetName val="Lead statement ss5"/>
      <sheetName val="Bitumen trunk"/>
      <sheetName val="Feeder"/>
      <sheetName val="R99 etc"/>
      <sheetName val="Trunk unpaved"/>
      <sheetName val="COVER"/>
      <sheetName val="Data.F8.BTR"/>
      <sheetName val="1-Pop Proj"/>
      <sheetName val="1V of 2m slab"/>
      <sheetName val="2V of 3.0Mslab"/>
      <sheetName val="Sheet1"/>
      <sheetName val="BWSCPlt"/>
      <sheetName val="CI"/>
      <sheetName val="DI"/>
      <sheetName val="G.R.P"/>
      <sheetName val="HDPE"/>
      <sheetName val="PSC REVISED"/>
      <sheetName val="pvc"/>
      <sheetName val="DATA SHEET"/>
      <sheetName val="l"/>
      <sheetName val="sand"/>
      <sheetName val="stone"/>
      <sheetName val="index"/>
      <sheetName val="pvc-rates"/>
      <sheetName val="R_Det esst"/>
      <sheetName val="CD_All_No_"/>
      <sheetName val="GA"/>
      <sheetName val="m"/>
      <sheetName val="Rising Main"/>
      <sheetName val="PVC weights"/>
      <sheetName val="Boq"/>
      <sheetName val="1V800"/>
      <sheetName val="Sheet2"/>
      <sheetName val="Common "/>
      <sheetName val="mlead"/>
      <sheetName val="F7-1v1000-0_(3)2"/>
      <sheetName val="ABST(PART_B)_2"/>
      <sheetName val="F6-Gnrl_Abstrt2"/>
      <sheetName val="Cover-MEstt_2"/>
      <sheetName val="Road_Detail_Est_1"/>
      <sheetName val="Road_data1"/>
      <sheetName val="R/ad_Detail_Est_"/>
      <sheetName val="R_ad_Detail_Est_"/>
      <sheetName val="Plant_&amp;__Machinery"/>
      <sheetName val="F7-1v1000-0_(3)3"/>
      <sheetName val="ABST(PART_B)_3"/>
      <sheetName val="F6-Gnrl_Abstrt3"/>
      <sheetName val="Cover-MEstt_3"/>
      <sheetName val="Road_Detail_Est_2"/>
      <sheetName val="Road_data2"/>
      <sheetName val="R/ad_Detail_Est_1"/>
      <sheetName val="R_ad_Detail_Est_1"/>
      <sheetName val="Plant_&amp;__Machinery1"/>
      <sheetName val="RECAPITULATION"/>
      <sheetName val="final abstract"/>
      <sheetName val="BOQ_Direct_selling cost"/>
      <sheetName val="Rate analysis"/>
      <sheetName val="_Yamanapalli_to_Mahamutharam__2"/>
      <sheetName val="Line"/>
      <sheetName val="Staff Acco."/>
      <sheetName val="Sorted"/>
      <sheetName val="water-hammar-strenght"/>
      <sheetName val="WATER-HAMMER"/>
      <sheetName val="hdpe weights"/>
      <sheetName val="Nspt-smp-final-ORIGINAL"/>
      <sheetName val="Cable-data"/>
      <sheetName val="BOXCELL"/>
      <sheetName val="BOXCULVERT"/>
      <sheetName val="Cut Fill"/>
      <sheetName val="FORM5"/>
      <sheetName val="Habitation"/>
      <sheetName val="Maintenance"/>
      <sheetName val="Proforma B"/>
      <sheetName val="RET "/>
      <sheetName val="TOE"/>
      <sheetName val="Traffic"/>
      <sheetName val="Data_Renuals"/>
      <sheetName val="11.habitations"/>
      <sheetName val="AV-HDPE"/>
      <sheetName val="Di_gate-HDPE"/>
      <sheetName val="Estt"/>
      <sheetName val="Analy"/>
      <sheetName val="HDPE-pipe-rates"/>
      <sheetName val="HS 1"/>
      <sheetName val="wh_data"/>
      <sheetName val="wh_data_R"/>
      <sheetName val="CPHEEO"/>
      <sheetName val="JAWAHAR-hyd-original"/>
      <sheetName val="LEAD (2)"/>
      <sheetName val="id"/>
      <sheetName val="Lead Distance"/>
      <sheetName val="mas_hab"/>
      <sheetName val="habs-details"/>
      <sheetName val="int-Dia"/>
      <sheetName val="habs-list"/>
      <sheetName val="PM&amp;GM"/>
      <sheetName val="mroad data"/>
      <sheetName val="DATA_PRG"/>
      <sheetName val="abs"/>
      <sheetName val="Data "/>
      <sheetName val="pop"/>
      <sheetName val="LEAD.2014-15 West"/>
      <sheetName val="MTC-estimate"/>
      <sheetName val="CBL_SIZE"/>
      <sheetName val="Load List"/>
      <sheetName val="CBL_OD"/>
      <sheetName val="PUMP_DATA"/>
      <sheetName val="int-Dia-hdpe"/>
      <sheetName val="DATA-BASE"/>
      <sheetName val="GROUND FLOOR"/>
      <sheetName val="_Yamanapalli_to_Mahamutharam__3"/>
      <sheetName val="Usage"/>
      <sheetName val="well-cap"/>
      <sheetName val="_Yamanapalli_to_Mahamutharam__4"/>
      <sheetName val="_Yamanapalli_to_Mahamutharam__5"/>
      <sheetName val="_Yamanapalli_to_Mahamutharam__6"/>
      <sheetName val="Road-furniture "/>
      <sheetName val="p&amp;m"/>
      <sheetName val="Specification report"/>
      <sheetName val="Analysis-NH-Roads"/>
      <sheetName val="TBAL9697 -group wise  sdpl"/>
      <sheetName val="DATA-ABSTRACT"/>
      <sheetName val="SSR 2014-15 Rates"/>
      <sheetName val="_Yamanapalli_to_Mahamutharam__7"/>
      <sheetName val="_Yamanapalli_to_Mahamutharam__8"/>
      <sheetName val="_Yamanapalli_to_Mahamutharam__9"/>
      <sheetName val="_Yamanapalli_to_Mahamutharam_10"/>
      <sheetName val="_Yamanapalli_to_Mahamutharam_11"/>
      <sheetName val="Sheet1 (2)"/>
      <sheetName val="ewst"/>
      <sheetName val="abs road"/>
      <sheetName val="other rates"/>
      <sheetName val="hdpe_basic"/>
      <sheetName val="pvc_basic"/>
      <sheetName val="Iocount"/>
      <sheetName val="_Yamanapalli_to_Mahamutharam_12"/>
      <sheetName val="_Yamanapalli_to_Mahamutharam_13"/>
      <sheetName val="_Yamanapalli_to_Mahamutharam_14"/>
      <sheetName val="_Yamanapalli_to_Mahamutharam_15"/>
      <sheetName val="_Yamanapalli_to_Mahamutharam_16"/>
      <sheetName val="_Yamanapalli_to_Mahamutharam_17"/>
      <sheetName val="_Yamanapalli_to_Mahamutharam_18"/>
      <sheetName val="_Yamanapalli_to_Mahamutharam_19"/>
      <sheetName val="_Yamanapalli_to_Mahamutharam_20"/>
      <sheetName val="data existing_do not delete"/>
      <sheetName val="_Yamanapalli_to_Mahamutharam_21"/>
      <sheetName val="_Yamanapalli_to_Mahamutharam_22"/>
      <sheetName val="_Yamanapalli_to_Mahamutharam_23"/>
      <sheetName val="_Yamanapalli_to_Mahamutharam_24"/>
      <sheetName val="_Yamanapalli_to_Mahamutharam_25"/>
      <sheetName val="_Yamanapalli_to_Mahamutharam_26"/>
      <sheetName val="_Yamanapalli_to_Mahamutharam_27"/>
      <sheetName val="_Yamanapalli_to_Mahamutharam_28"/>
      <sheetName val="_Yamanapalli_to_Mahamutharam_29"/>
      <sheetName val="_Yamanapalli_to_Mahamutharam_30"/>
      <sheetName val="_Yamanapalli_to_Mahamutharam_31"/>
      <sheetName val="_Yamanapalli_to_Mahamutharam_32"/>
      <sheetName val="_Yamanapalli_to_Mahamutharam_33"/>
      <sheetName val="_Yamanapalli_to_Mahamutharam_34"/>
      <sheetName val="_Yamanapalli_to_Mahamutharam_35"/>
      <sheetName val="_Yamanapalli_to_Mahamutharam_36"/>
      <sheetName val="_Yamanapalli_to_Mahamutharam_37"/>
      <sheetName val="_Yamanapalli_to_Mahamutharam_38"/>
      <sheetName val="_Yamanapalli_to_Mahamutharam_39"/>
      <sheetName val="_Yamanapalli_to_Mahamutharam_40"/>
      <sheetName val="_Yamanapalli_to_Mahamutharam_41"/>
      <sheetName val="_Yamanapalli_to_Mahamutharam_42"/>
      <sheetName val="_Yamanapalli_to_Mahamutharam_43"/>
      <sheetName val="_Yamanapalli_to_Mahamutharam_44"/>
      <sheetName val="_Yamanapalli_to_Mahamutharam_45"/>
      <sheetName val="_Yamanapalli_to_Mahamutharam_46"/>
      <sheetName val="_Yamanapalli_to_Mahamutharam_47"/>
      <sheetName val="_Yamanapalli_to_Mahamutharam_48"/>
      <sheetName val="_Yamanapalli_to_Mahamutharam_49"/>
      <sheetName val="_Yamanapalli_to_Mahamutharam_50"/>
      <sheetName val="_Yamanapalli_to_Mahamutharam_51"/>
      <sheetName val="_Yamanapalli_to_Mahamutharam_52"/>
      <sheetName val="_Yamanapalli_to_Mahamutharam_53"/>
      <sheetName val="_Yamanapalli_to_Mahamutharam_54"/>
      <sheetName val="_Yamanapalli_to_Mahamutharam_55"/>
      <sheetName val="_Yamanapalli_to_Mahamutharam_56"/>
      <sheetName val="_Yamanapalli_to_Mahamutharam_57"/>
      <sheetName val="_Yamanapalli_to_Mahamutharam_58"/>
      <sheetName val="_Yamanapalli_to_Mahamutharam_59"/>
      <sheetName val="_Yamanapalli_to_Mahamutharam_60"/>
      <sheetName val="_Yamanapalli_to_Mahamutharam_61"/>
      <sheetName val="_Yamanapalli_to_Mahamutharam_62"/>
      <sheetName val="_Yamanapalli_to_Mahamutharam_63"/>
      <sheetName val="_Yamanapalli_to_Mahamutharam_64"/>
      <sheetName val="_Yamanapalli_to_Mahamutharam_65"/>
      <sheetName val="_Yamanapalli_to_Mahamutharam_66"/>
      <sheetName val="_Yamanapalli_to_Mahamutharam_67"/>
      <sheetName val="_Yamanapalli_to_Mahamutharam_68"/>
      <sheetName val="_Yamanapalli_to_Mahamutharam_69"/>
      <sheetName val="_Yamanapalli_to_Mahamutharam_70"/>
      <sheetName val="_Yamanapalli_to_Mahamutharam_71"/>
      <sheetName val="_Yamanapalli_to_Mahamutharam_72"/>
      <sheetName val="_Yamanapalli_to_Mahamutharam_73"/>
      <sheetName val="_Yamanapalli_to_Mahamutharam_74"/>
      <sheetName val="_Yamanapalli_to_Mahamutharam_75"/>
      <sheetName val="_Yamanapalli_to_Mahamutharam_76"/>
      <sheetName val="_Yamanapalli_to_Mahamutharam_77"/>
      <sheetName val="C&amp;S monthwise"/>
      <sheetName val="General"/>
      <sheetName val="Gen Abs"/>
      <sheetName val="DATA-CD"/>
      <sheetName val="C-data"/>
      <sheetName val="Lead 09-10"/>
      <sheetName val="lead charges"/>
      <sheetName val="Basic Data"/>
      <sheetName val="Daily Wages of Crew"/>
      <sheetName val="Fuel"/>
      <sheetName val="Hire Charges"/>
      <sheetName val="lead statetment"/>
      <sheetName val="Hire"/>
      <sheetName val="lead details"/>
      <sheetName val="DATA SHEET FOR 2015-16"/>
      <sheetName val="Intput"/>
      <sheetName val="Well"/>
      <sheetName val="Load"/>
      <sheetName val="nodes"/>
      <sheetName val="AV_AC"/>
      <sheetName val="di_Gate_AC"/>
      <sheetName val="Digate-BWSCP-MS"/>
      <sheetName val="DI_gate_di"/>
      <sheetName val="Sheet9"/>
      <sheetName val="DATA-CD "/>
      <sheetName val="hyperstatic"/>
      <sheetName val="ANALYSIS"/>
      <sheetName val="MRMECADAMoad data"/>
      <sheetName val="road est"/>
      <sheetName val="Schedule"/>
      <sheetName val="LOCAL RATES"/>
      <sheetName val="_Yamanapalli_to_Mahamutharam_78"/>
      <sheetName val="_Yamanapalli_to_Mahamutharam_79"/>
      <sheetName val="_Yamanapalli_to_Mahamutharam_80"/>
      <sheetName val="_Yamanapalli_to_Mahamutharam_81"/>
      <sheetName val="_Yamanapalli_to_Mahamutharam_82"/>
      <sheetName val="_Yamanapalli_to_Mahamutharam_83"/>
      <sheetName val="_Yamanapalli_to_Mahamutharam_84"/>
      <sheetName val="_Yamanapalli_to_Mahamutharam_85"/>
      <sheetName val="_Yamanapalli_to_Mahamutharam_86"/>
      <sheetName val="_Yamanapalli_to_Mahamutharam_87"/>
      <sheetName val="_Yamanapalli_to_Mahamutharam_88"/>
      <sheetName val="_Yamanapalli_to_Mahamutharam_89"/>
      <sheetName val="_Yamanapalli_to_Mahamutharam_90"/>
      <sheetName val="_Yamanapalli_to_Mahamutharam_91"/>
      <sheetName val="_Yamanapalli_to_Mahamutharam_92"/>
      <sheetName val="_Yamanapalli_to_Mahamutharam_93"/>
      <sheetName val="_Yamanapalli_to_Mahamutharam_94"/>
      <sheetName val="_Yamanapalli_to_Mahamutharam_95"/>
      <sheetName val="_Yamanapalli_to_Mahamutharam_96"/>
      <sheetName val="_Yamanapalli_to_Mahamutharam_97"/>
      <sheetName val="_Yamanapalli_to_Mahamutharam_98"/>
      <sheetName val="_Yamanapalli_to_Mahamutharam_99"/>
      <sheetName val="_Yamanapalli_to_Mahamuthara_100"/>
      <sheetName val="_Yamanapalli_to_Mahamuthara_101"/>
      <sheetName val="_Yamanapalli_to_Mahamuthara_102"/>
      <sheetName val="_Yamanapalli_to_Mahamuthara_103"/>
      <sheetName val="_Yamanapalli_to_Mahamuthara_104"/>
      <sheetName val="_Yamanapalli_to_Mahamuthara_105"/>
      <sheetName val="_Yamanapalli_to_Mahamuthara_106"/>
      <sheetName val="_Yamanapalli_to_Mahamuthara_107"/>
      <sheetName val="_Yamanapalli_to_Mahamuthara_108"/>
      <sheetName val="_Yamanapalli_to_Mahamuthara_109"/>
      <sheetName val="_Yamanapalli_to_Mahamuthara_110"/>
      <sheetName val="_Yamanapalli_to_Mahamuthara_111"/>
      <sheetName val="_Yamanapalli_to_Mahamuthara_112"/>
      <sheetName val="_Yamanapalli_to_Mahamuthara_113"/>
      <sheetName val="_Yamanapalli_to_Mahamuthara_114"/>
      <sheetName val="_Yamanapalli_to_Mahamuthara_115"/>
      <sheetName val="_Yamanapalli_to_Mahamuthara_116"/>
      <sheetName val="_Yamanapalli_to_Mahamuthara_117"/>
      <sheetName val="_Yamanapalli_to_Mahamuthara_118"/>
      <sheetName val="_Yamanapalli_to_Mahamuthara_119"/>
      <sheetName val="_Yamanapalli_to_Mahamuthara_120"/>
      <sheetName val="_Yamanapalli_to_Mahamuthara_121"/>
      <sheetName val="_Yamanapalli_to_Mahamuthara_122"/>
      <sheetName val="_Yamanapalli_to_Mahamuthara_123"/>
      <sheetName val="_Yamanapalli_to_Mahamuthara_124"/>
      <sheetName val="_Yamanapalli_to_Mahamuthara_125"/>
      <sheetName val="_Yamanapalli_to_Mahamuthara_126"/>
      <sheetName val="_Yamanapalli_to_Mahamuthara_127"/>
      <sheetName val="_Yamanapalli_to_Mahamuthara_128"/>
      <sheetName val="_Yamanapalli_to_Mahamuthara_129"/>
      <sheetName val="_Yamanapalli_to_Mahamuthara_130"/>
      <sheetName val="_Yamanapalli_to_Mahamuthara_131"/>
      <sheetName val="_Yamanapalli_to_Mahamuthara_132"/>
      <sheetName val="_Yamanapalli_to_Mahamuthara_133"/>
      <sheetName val="_Yamanapalli_to_Mahamuthara_134"/>
      <sheetName val="_Yamanapalli_to_Mahamuthara_135"/>
      <sheetName val="_Yamanapalli_to_Mahamuthara_136"/>
      <sheetName val="_Yamanapalli_to_Mahamuthara_137"/>
      <sheetName val="_Yamanapalli_to_Mahamuthara_138"/>
      <sheetName val="_Yamanapalli_to_Mahamuthara_139"/>
      <sheetName val="_Yamanapalli_to_Mahamuthara_140"/>
      <sheetName val="_Yamanapalli_to_Mahamuthara_141"/>
      <sheetName val="_Yamanapalli_to_Mahamuthara_142"/>
      <sheetName val="_Yamanapalli_to_Mahamuthara_143"/>
      <sheetName val="_Yamanapalli_to_Mahamuthara_144"/>
      <sheetName val="_Yamanapalli_to_Mahamuthara_145"/>
      <sheetName val="_Yamanapalli_to_Mahamuthara_146"/>
      <sheetName val="_Yamanapalli_to_Mahamuthara_147"/>
      <sheetName val="_Yamanapalli_to_Mahamuthara_148"/>
      <sheetName val="_Yamanapalli_to_Mahamuthara_149"/>
      <sheetName val="_Yamanapalli_to_Mahamuthara_150"/>
      <sheetName val="_Yamanapalli_to_Mahamuthara_151"/>
      <sheetName val="_Yamanapalli_to_Mahamuthara_152"/>
      <sheetName val="_Yamanapalli_to_Mahamuthara_153"/>
      <sheetName val="_Yamanapalli_to_Mahamuthara_154"/>
      <sheetName val="_Yamanapalli_to_Mahamuthara_155"/>
      <sheetName val="_Yamanapalli_to_Mahamuthara_156"/>
      <sheetName val="_Yamanapalli_to_Mahamuthara_157"/>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sheetData sheetId="86"/>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 val="leads"/>
      <sheetName val="Data"/>
      <sheetName val="Lead"/>
      <sheetName val="Road Detail Est."/>
      <sheetName val="Road data"/>
      <sheetName val="Roadlist"/>
      <sheetName val="temp-SDData (2)"/>
      <sheetName val="t_prsr"/>
      <sheetName val="PVC_dia"/>
      <sheetName val="Specification"/>
      <sheetName val="ssr-rates"/>
      <sheetName val="ESTIMATE"/>
      <sheetName val="quarry"/>
      <sheetName val="RMR"/>
      <sheetName val="Data_Bit_I"/>
      <sheetName val="Summary"/>
      <sheetName val="MRATES"/>
      <sheetName val="Data.F8.BTR"/>
      <sheetName val="Levels"/>
      <sheetName val="Lead statement"/>
      <sheetName val="Labour"/>
      <sheetName val="CD Data"/>
      <sheetName val="Material"/>
      <sheetName val="Plant &amp;  Machinery"/>
      <sheetName val="Road_Detail_Est_2"/>
      <sheetName val="Road_data2"/>
      <sheetName val="temp-SDData_(2)2"/>
      <sheetName val="Data_F8_BTR2"/>
      <sheetName val="Road_Detail_Est_"/>
      <sheetName val="Road_data"/>
      <sheetName val="temp-SDData_(2)"/>
      <sheetName val="Data_F8_BTR"/>
      <sheetName val="Road_Detail_Est_1"/>
      <sheetName val="Road_data1"/>
      <sheetName val="temp-SDData_(2)1"/>
      <sheetName val="Data_F8_BTR1"/>
      <sheetName val="Rising Main"/>
      <sheetName val="EDWise"/>
      <sheetName val="Cd"/>
      <sheetName val="Cs"/>
      <sheetName val="CPIPE"/>
      <sheetName val="THK"/>
      <sheetName val="CPIPE 1"/>
      <sheetName val="RECAPITULATION"/>
      <sheetName val="m"/>
      <sheetName val="Data o"/>
      <sheetName val="Trunk unpaved"/>
      <sheetName val="Data_Base"/>
      <sheetName val="COLUMN"/>
      <sheetName val="detls"/>
      <sheetName val="Sheet2"/>
      <sheetName val="sup dat"/>
      <sheetName val="Sheet1"/>
      <sheetName val="rdamdata"/>
      <sheetName val="DATA_PRG"/>
      <sheetName val="MPP_Vemulapally"/>
      <sheetName val="stone"/>
      <sheetName val="index"/>
      <sheetName val="int-Dia-pvc"/>
      <sheetName val=" EST"/>
      <sheetName val="segments-details"/>
      <sheetName val="int-Dia-hdpe"/>
      <sheetName val="habs-list"/>
      <sheetName val="Pipe data"/>
      <sheetName val="Box Culvert data"/>
      <sheetName val="data-sheet"/>
      <sheetName val="other rates"/>
      <sheetName val="CLEAR OVER FALL DROP"/>
      <sheetName val="Main-Material"/>
      <sheetName val="hdpe weights"/>
      <sheetName val="PVC weights"/>
      <sheetName val="HDPE"/>
      <sheetName val="CI"/>
      <sheetName val="Longitudinal"/>
      <sheetName val="Lead 09-10"/>
      <sheetName val="Legend"/>
      <sheetName val="id"/>
      <sheetName val="Convey"/>
      <sheetName val="Rates"/>
      <sheetName val="Specification report"/>
      <sheetName val="Sheet3"/>
      <sheetName val="MRoad data"/>
      <sheetName val="COVER"/>
      <sheetName val="data_sein"/>
      <sheetName val="DATA-BASE"/>
      <sheetName val="DATA-ABSTRACT"/>
      <sheetName val="HT-INTROD"/>
      <sheetName val="Rate"/>
      <sheetName val=" data sheet "/>
      <sheetName val="coverpage"/>
      <sheetName val="Rd.Est"/>
      <sheetName val="m1"/>
      <sheetName val="Lookup"/>
      <sheetName val="pvc-pipe-rates"/>
      <sheetName val="Boq - Flats"/>
      <sheetName val="LOCAL RATES"/>
      <sheetName val="BWSCPlt"/>
      <sheetName val="DI"/>
      <sheetName val="G.R.P"/>
      <sheetName val="PSC REVISED"/>
      <sheetName val="pvc"/>
      <sheetName val="data existing_do not delete"/>
      <sheetName val="0000000000000"/>
      <sheetName val="procurement"/>
      <sheetName val="abs road"/>
      <sheetName val="Lead-2014-15"/>
      <sheetName val="final abstract"/>
      <sheetName val="SSR"/>
      <sheetName val="scheme area details_block__ c2"/>
      <sheetName val="Main sheet"/>
      <sheetName val="Lead-1"/>
      <sheetName val="DATA-2005-06"/>
      <sheetName val="source"/>
      <sheetName val="gen"/>
      <sheetName val="R_Det"/>
      <sheetName val="SubAnlysis"/>
      <sheetName val="Marteru"/>
      <sheetName val="Road_Detail_Est_3"/>
      <sheetName val="Road_data3"/>
      <sheetName val="temp-SDData_(2)3"/>
      <sheetName val="Data_F8_BTR3"/>
      <sheetName val="Lead_statement"/>
      <sheetName val="sup_dat"/>
      <sheetName val="Plant_&amp;__Machinery"/>
      <sheetName val="CD_Data"/>
      <sheetName val="Data_o"/>
      <sheetName val="Trunk_unpaved"/>
      <sheetName val="Rising_Main"/>
      <sheetName val="CPIPE_1"/>
      <sheetName val="Pipe_data"/>
      <sheetName val="Box_Culvert_data"/>
      <sheetName val="_EST"/>
      <sheetName val="Det.SC2"/>
      <sheetName val="conc-foot-gradeslab"/>
      <sheetName val="C-data"/>
      <sheetName val="GF SB Ok "/>
      <sheetName val="dlvoid"/>
      <sheetName val="Data Road"/>
      <sheetName val="CABLE DATA"/>
      <sheetName val="SSR 2015-16"/>
      <sheetName val="est"/>
      <sheetName val="Estimate_Slab"/>
      <sheetName val="Data_Renuals"/>
      <sheetName val="Common "/>
      <sheetName val="MA"/>
      <sheetName val="Rate analysis"/>
      <sheetName val="Side wall dsn Formula"/>
      <sheetName val="MTC-estimate"/>
      <sheetName val="Sheet9"/>
      <sheetName val="wh"/>
      <sheetName val="Labor abs-NMR"/>
      <sheetName val="Estt"/>
    </sheetNames>
    <sheetDataSet>
      <sheetData sheetId="0"/>
      <sheetData sheetId="1">
        <row r="7">
          <cell r="F7">
            <v>91</v>
          </cell>
        </row>
      </sheetData>
      <sheetData sheetId="2"/>
      <sheetData sheetId="3"/>
      <sheetData sheetId="4"/>
      <sheetData sheetId="5"/>
      <sheetData sheetId="6"/>
      <sheetData sheetId="7">
        <row r="7">
          <cell r="F7">
            <v>91</v>
          </cell>
        </row>
      </sheetData>
      <sheetData sheetId="8" refreshError="1">
        <row r="7">
          <cell r="F7">
            <v>91</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XXXXX"/>
      <sheetName val="XXXXXXXXXXXXX"/>
      <sheetName val="SUP DATA (2)"/>
      <sheetName val="lead"/>
      <sheetName val="Lead statement"/>
      <sheetName val="DATA - RIDF - XII"/>
      <sheetName val="sup data"/>
      <sheetName val="COMP. STAT."/>
      <sheetName val="COMP. STAT. (2)"/>
      <sheetName val="ABR"/>
      <sheetName val="WORK DONE"/>
      <sheetName val="CR"/>
      <sheetName val="QUT"/>
      <sheetName val="KM"/>
      <sheetName val="Data_Renuals"/>
      <sheetName val="Data_Renuals (2)"/>
      <sheetName val="Abstract"/>
      <sheetName val="Data"/>
      <sheetName val="WORKING"/>
      <sheetName val="RMR"/>
      <sheetName val="ssr-rates"/>
      <sheetName val="Data.F8.BTR"/>
      <sheetName val="r"/>
      <sheetName val="m"/>
      <sheetName val="ABS"/>
      <sheetName val="other rates"/>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Data_Renuals"/>
      <sheetName val="m"/>
      <sheetName val="ABS"/>
      <sheetName val="Lead"/>
      <sheetName val="t_prsr"/>
      <sheetName val="wh"/>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sr-rates"/>
      <sheetName val="Plant &amp;  Machinery"/>
      <sheetName val="Material"/>
      <sheetName val="Labour"/>
      <sheetName val="LEADS"/>
      <sheetName val="Road data"/>
      <sheetName val="pvc-pipe-rates"/>
      <sheetName val="Lead statement"/>
      <sheetName val="m"/>
      <sheetName val="data existing_do not delete"/>
      <sheetName val="Specification"/>
      <sheetName val="Lead"/>
      <sheetName val="MRATES"/>
      <sheetName val="0000000000000"/>
      <sheetName val="segments-details"/>
      <sheetName val="int-Dia-hdpe"/>
      <sheetName val="habs-list"/>
      <sheetName val="int-Dia-pvc"/>
      <sheetName val="DATA"/>
      <sheetName val="Data_Base"/>
      <sheetName val="sand"/>
      <sheetName val="stone"/>
      <sheetName val="Data_Renuals"/>
      <sheetName val="ABS"/>
      <sheetName val="HDPE"/>
      <sheetName val="DI"/>
      <sheetName val="pvc"/>
      <sheetName val="Specification report"/>
      <sheetName val="RMR"/>
      <sheetName val="GROUND FLOOR"/>
      <sheetName val="maya"/>
      <sheetName val="Data-ELSR"/>
      <sheetName val="DATA-BASE"/>
      <sheetName val="DATA-ABSTRACT"/>
      <sheetName val="GA"/>
      <sheetName val="C-data"/>
      <sheetName val="Civil SSR"/>
      <sheetName val="WS Data"/>
      <sheetName val="ST"/>
      <sheetName val="Sump"/>
      <sheetName val="quarry"/>
      <sheetName val="Process"/>
      <sheetName val="other rates"/>
      <sheetName val="rates"/>
      <sheetName val="Sheet1"/>
      <sheetName val="data1"/>
      <sheetName val="Data.F8.BTR"/>
      <sheetName val="Road Detail Est."/>
      <sheetName val="rdamdata"/>
      <sheetName val="Main sheet"/>
      <sheetName val="SSR"/>
      <sheetName val="temp-SDData (2)"/>
      <sheetName val="id"/>
      <sheetName val="bldg"/>
      <sheetName val="Bridge Data 2005-06"/>
      <sheetName val="cert"/>
      <sheetName val="DATA_PRG"/>
      <sheetName val="Road data "/>
      <sheetName val="SPECS"/>
      <sheetName val="Sheet9"/>
      <sheetName val="Proforma -II "/>
      <sheetName val="C.R G.F"/>
      <sheetName val="pvc_basic"/>
      <sheetName val="Part-A"/>
      <sheetName val="Sorted"/>
      <sheetName val="m lead"/>
      <sheetName val="CFForecast detail"/>
      <sheetName val="DI Rate Analysis"/>
      <sheetName val="Economic RisingMain  Ph-I"/>
      <sheetName val="Plant_&amp;__Machinery"/>
      <sheetName val="Road_data"/>
      <sheetName val="Lead_statement"/>
      <sheetName val="data_existing_do_not_delete"/>
      <sheetName val="Plant_&amp;__Machinery1"/>
      <sheetName val="Road_data1"/>
      <sheetName val="Lead_statement1"/>
      <sheetName val="data_existing_do_not_delete1"/>
      <sheetName val="MRoad data"/>
      <sheetName val="FINAL LEAD"/>
      <sheetName val="select items_PMW"/>
      <sheetName val="Convey"/>
      <sheetName val="COVER"/>
      <sheetName val="road est"/>
      <sheetName val="Basicrates"/>
      <sheetName val="C.D.Abs.Est."/>
      <sheetName val="Sheet2"/>
      <sheetName val="RM"/>
      <sheetName val="SLAB  DATA"/>
      <sheetName val="Dn SLRB (R2)"/>
      <sheetName val="Data_"/>
      <sheetName val="Sheet1 (2)"/>
      <sheetName val="Bill-12"/>
      <sheetName val="dlvoid"/>
      <sheetName val="slab"/>
      <sheetName val="DL CAL"/>
      <sheetName val="1V800"/>
      <sheetName val="materials"/>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p&amp;m"/>
      <sheetName val="mlead"/>
      <sheetName val="Aug,02"/>
      <sheetName val="MTC-estimate"/>
      <sheetName val="pt-cw"/>
      <sheetName val="Summary"/>
      <sheetName val="GN-ST-10"/>
      <sheetName val="CD Data"/>
      <sheetName val="RA-markate"/>
      <sheetName val="sup dat"/>
      <sheetName val="Sheet3"/>
      <sheetName val="t_prsr"/>
      <sheetName val="detls"/>
      <sheetName val="wh"/>
      <sheetName val="Data o"/>
      <sheetName val="Hydraulic Design (Pipe)"/>
      <sheetName val="PUMP_DATA"/>
      <sheetName val="Sub -  Analysis"/>
      <sheetName val="Levels"/>
      <sheetName val="51"/>
      <sheetName val="Data-2010-11"/>
      <sheetName val="sept-plan"/>
      <sheetName val="BOQ"/>
      <sheetName val="FINAL DATA"/>
      <sheetName val="Road data.PS"/>
      <sheetName val="Road data  PH"/>
      <sheetName val="GF SB Ok "/>
      <sheetName val="Design"/>
      <sheetName val="abs road"/>
      <sheetName val="R_Det"/>
      <sheetName val="Note"/>
      <sheetName val="MPP_Gundlapally1"/>
      <sheetName val="d-safe DELUXE"/>
      <sheetName val="bASICDATA"/>
      <sheetName val="hdpe weights"/>
      <sheetName val="Sheet5"/>
      <sheetName val="PVC weights"/>
      <sheetName val="ESTIMATE"/>
      <sheetName val="Lookup"/>
      <sheetName val="Specification_report"/>
      <sheetName val="GROUND_FLOOR"/>
      <sheetName val="Civil_SSR"/>
      <sheetName val="WS_Data"/>
      <sheetName val="Data_F8_BTR"/>
      <sheetName val="Road_Detail_Est_"/>
      <sheetName val="other_rates"/>
      <sheetName val="temp-SDData_(2)"/>
      <sheetName val="Road_data_"/>
      <sheetName val="Bridge_Data_2005-06"/>
      <sheetName val="MRoad_data"/>
      <sheetName val="Main_sheet"/>
      <sheetName val="hdpe_basic"/>
      <sheetName val="BTR (2)"/>
      <sheetName val="Nspt-smp-final-ORIGINAL"/>
      <sheetName val="SS ENERGISE"/>
      <sheetName val="MA"/>
      <sheetName val="basic-data"/>
      <sheetName val="Bitumen trunk"/>
      <sheetName val="Feeder"/>
      <sheetName val="R99 etc"/>
      <sheetName val="Trunk unpaved"/>
      <sheetName val="Supplier"/>
      <sheetName val="sg-clay(d)"/>
      <sheetName val="Design of two-way slab"/>
      <sheetName val="Data Road"/>
      <sheetName val="road safety datas"/>
      <sheetName val="MRMECADAMoad data"/>
      <sheetName val="lead modified"/>
      <sheetName val="CC road"/>
      <sheetName val="Road Est."/>
      <sheetName val="WATER-HAMMER"/>
      <sheetName val="DET-ABS(toilet&amp;residence of ju)"/>
      <sheetName val="BTR"/>
      <sheetName val="Boppudi data sheet "/>
      <sheetName val="Common "/>
      <sheetName val="Usage"/>
      <sheetName val="Abs_CD_2"/>
      <sheetName val="coverpage"/>
      <sheetName val="ECV"/>
      <sheetName val="Pile cap"/>
      <sheetName val="Lead statement ss5"/>
      <sheetName val="section"/>
      <sheetName val="Marteru"/>
      <sheetName val="FT-05-02IsoBOM"/>
      <sheetName val="Crust"/>
      <sheetName val="Works"/>
      <sheetName val="ABUT MASTER"/>
      <sheetName val="User input"/>
      <sheetName val="PVC_dia"/>
      <sheetName val="Sheet11"/>
      <sheetName val="Sheet03"/>
      <sheetName val="FIRST"/>
      <sheetName val="General"/>
      <sheetName val="(1)FILL FIRST"/>
      <sheetName val="Rectangular Beam"/>
      <sheetName val="Analy"/>
      <sheetName val="Leads 05-06"/>
      <sheetName val="SCHEMATIC-EX&amp;PR"/>
      <sheetName val="STAMT"/>
      <sheetName val="1-Pop Proj"/>
      <sheetName val="Labour &amp; Plant"/>
      <sheetName val="BASE_ALL"/>
      <sheetName val="SLAB DESIGN"/>
      <sheetName val="Estt"/>
      <sheetName val="Rising Main"/>
      <sheetName val="EST"/>
      <sheetName val="Civil Boq"/>
      <sheetName val="ord-lost_98&amp;99"/>
      <sheetName val="int-Dia"/>
      <sheetName val="nodes"/>
      <sheetName val="JAWAHAR-hyd-original"/>
      <sheetName val="RF"/>
      <sheetName val="XXXXX"/>
      <sheetName val="XXXXXXXXXXXXX"/>
      <sheetName val="drain (2)"/>
      <sheetName val="F-6 (estt) (2)"/>
      <sheetName val="spe-re"/>
      <sheetName val="TRAFFIC SIGN BOARDS"/>
      <sheetName val="1v-1000"/>
      <sheetName val="2v-1000 "/>
      <sheetName val="drain"/>
      <sheetName val="SUB DATA"/>
      <sheetName val="F7-A.CDW.BT.R5"/>
      <sheetName val="General-abstract"/>
      <sheetName val="Conveyance"/>
      <sheetName val="Work_sheet"/>
      <sheetName val="wh_data"/>
      <sheetName val="wh_data_R"/>
      <sheetName val="CPHEEO"/>
      <sheetName val="input"/>
      <sheetName val=" data sheet "/>
      <sheetName val="Attributes"/>
      <sheetName val="LEAD S 10-11"/>
      <sheetName val="DATA SHEET FOR 2012 - 13"/>
      <sheetName val="LEAD 2013-14"/>
      <sheetName val="DATA SHEET"/>
      <sheetName val="ANG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Input Data"/>
      <sheetName val="TRAFF-Count-ESAL-Cal"/>
      <sheetName val="ESAL-result"/>
      <sheetName val="ESAL-calculation "/>
      <sheetName val="ESAL-Data"/>
      <sheetName val="SPR"/>
      <sheetName val="LS_2LS"/>
      <sheetName val="Cover"/>
      <sheetName val="google-map"/>
      <sheetName val="NOTE File1"/>
      <sheetName val="GENERAL ABS"/>
      <sheetName val="GA-PART-B"/>
      <sheetName val="Bridge-Portion"/>
      <sheetName val="Bridge-PART-A"/>
      <sheetName val="Bridge-PART-B"/>
      <sheetName val="Road Estimate"/>
      <sheetName val="Road-furniture "/>
      <sheetName val="Seigneorage"/>
      <sheetName val="SC"/>
      <sheetName val="Earth work"/>
      <sheetName val="CD Abs"/>
      <sheetName val="Steel"/>
      <sheetName val="Mtc-Abs"/>
      <sheetName val="MTS Esti"/>
      <sheetName val="Schedule-A MAZIDPUR"/>
      <sheetName val="Mtc-data"/>
      <sheetName val="Schedule-A"/>
      <sheetName val="Schedule-A (Part-B)"/>
      <sheetName val="1m dia Pipe Culverts"/>
      <sheetName val="2V 1000mm dia PC"/>
      <sheetName val="Slab Culvert 1V 6m x 2m spa"/>
      <sheetName val="Slab Culvert 2V 6m x 2m spa "/>
      <sheetName val="Ret wall"/>
      <sheetName val="Slab Culvert 1V 5m x 2m span"/>
      <sheetName val="SC (2)"/>
      <sheetName val="Lead"/>
      <sheetName val="Drain "/>
      <sheetName val="Road dam 30m"/>
      <sheetName val="Slab-Culverts Data"/>
      <sheetName val="Road data"/>
      <sheetName val="Pipe data"/>
      <sheetName val="Road-Marks"/>
      <sheetName val="TENDER-NF"/>
      <sheetName val="Road Furniture-Data"/>
      <sheetName val="SSR-rates"/>
      <sheetName val="NP4 pipes"/>
      <sheetName val="NP4 collars"/>
      <sheetName val="TEMP-CAL"/>
    </sheetNames>
    <sheetDataSet>
      <sheetData sheetId="0"/>
      <sheetData sheetId="1"/>
      <sheetData sheetId="2"/>
      <sheetData sheetId="3"/>
      <sheetData sheetId="4">
        <row r="5">
          <cell r="J5">
            <v>2</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Cover"/>
      <sheetName val="SPC"/>
      <sheetName val=" Estimate"/>
      <sheetName val="Seigniorage"/>
      <sheetName val="Lead"/>
      <sheetName val="Datas"/>
      <sheetName val="Laying Jointing of RCC SS pipe "/>
      <sheetName val="Cost of RCC NP2-NP3 SS pipes "/>
      <sheetName val="Man hole with Fly Ash Bricks"/>
      <sheetName val=" Brickwork Manhole "/>
      <sheetName val="cc pavement"/>
      <sheetName val="Conveyance"/>
    </sheetNames>
    <sheetDataSet>
      <sheetData sheetId="0"/>
      <sheetData sheetId="1"/>
      <sheetData sheetId="2"/>
      <sheetData sheetId="3"/>
      <sheetData sheetId="4">
        <row r="32">
          <cell r="B32" t="str">
            <v>Asst., Engineer</v>
          </cell>
          <cell r="K32" t="str">
            <v>Dy .Executive.Engineer</v>
          </cell>
        </row>
        <row r="33">
          <cell r="B33" t="str">
            <v>PR SD Amangal</v>
          </cell>
          <cell r="K33" t="str">
            <v>PR SD  Amangal</v>
          </cell>
        </row>
      </sheetData>
      <sheetData sheetId="5"/>
      <sheetData sheetId="6"/>
      <sheetData sheetId="7"/>
      <sheetData sheetId="8"/>
      <sheetData sheetId="9"/>
      <sheetData sheetId="10"/>
      <sheetData sheetId="1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Input Data"/>
      <sheetName val="Cover Page"/>
      <sheetName val="Note File"/>
      <sheetName val="GA"/>
      <sheetName val="Inspection Report"/>
      <sheetName val="SPR"/>
      <sheetName val="Key Map"/>
      <sheetName val="LS_2LS"/>
      <sheetName val="TRAFF-Count-ESAL-Cal"/>
      <sheetName val="ESAL-result"/>
      <sheetName val="ESAL-calculation "/>
      <sheetName val="ESAL-Data"/>
      <sheetName val="Cover"/>
      <sheetName val="google-map"/>
      <sheetName val="Schedule-A"/>
      <sheetName val="Schedule-A (Part-B)"/>
      <sheetName val="Road Estimate"/>
      <sheetName val="CD Abs"/>
      <sheetName val="Mtc-Abs"/>
      <sheetName val="MTS Esti"/>
      <sheetName val="MTC DAtas"/>
      <sheetName val="Mtc-data"/>
      <sheetName val="1V 1m dia Pipe Culverts"/>
      <sheetName val="2V 1m dia Pipe Culverts"/>
      <sheetName val="Road-furniture "/>
      <sheetName val="RSI-Estt"/>
      <sheetName val="Drain "/>
      <sheetName val="Seigneorage"/>
      <sheetName val="lead"/>
      <sheetName val="SSR-rates"/>
      <sheetName val="Road data"/>
      <sheetName val="Slab Culvert 1V 6m x 2m spa"/>
      <sheetName val="Slab Culvert 2V 6m x 2m spa"/>
      <sheetName val="Ret wall"/>
      <sheetName val="Road dam 30m"/>
      <sheetName val="Slab Culvert 1V 5m x 2m span"/>
      <sheetName val="Slab-Culverts Data"/>
      <sheetName val="Pipe data"/>
      <sheetName val="Road-Marks"/>
      <sheetName val="TENDER-NF"/>
      <sheetName val="Road Furniture-Data"/>
      <sheetName val="NP4 pipes"/>
      <sheetName val="NP4 collars"/>
      <sheetName val="TEMP-CAL"/>
    </sheetNames>
    <sheetDataSet>
      <sheetData sheetId="0"/>
      <sheetData sheetId="1"/>
      <sheetData sheetId="2"/>
      <sheetData sheetId="3"/>
      <sheetData sheetId="4">
        <row r="5">
          <cell r="L5" t="str">
            <v>-</v>
          </cell>
        </row>
        <row r="23">
          <cell r="D23">
            <v>0</v>
          </cell>
        </row>
        <row r="24">
          <cell r="D24">
            <v>0.13614999999999999</v>
          </cell>
          <cell r="E24">
            <v>0</v>
          </cell>
        </row>
      </sheetData>
      <sheetData sheetId="5"/>
      <sheetData sheetId="6"/>
      <sheetData sheetId="7">
        <row r="11">
          <cell r="E11">
            <v>8482237</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18">
          <cell r="G18">
            <v>37461</v>
          </cell>
        </row>
      </sheetData>
      <sheetData sheetId="29"/>
      <sheetData sheetId="30"/>
      <sheetData sheetId="31"/>
      <sheetData sheetId="32">
        <row r="16">
          <cell r="J16">
            <v>2005.5179333714741</v>
          </cell>
        </row>
        <row r="63">
          <cell r="C63" t="str">
            <v>N</v>
          </cell>
        </row>
      </sheetData>
      <sheetData sheetId="33">
        <row r="39">
          <cell r="L39">
            <v>19</v>
          </cell>
        </row>
        <row r="112">
          <cell r="L112">
            <v>80</v>
          </cell>
        </row>
      </sheetData>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Cover"/>
      <sheetName val="SPC"/>
      <sheetName val=" Estimate"/>
      <sheetName val="Seigniorage"/>
      <sheetName val="Lead"/>
      <sheetName val="Datas"/>
      <sheetName val="Laying Jointing of RCC SS pipe "/>
      <sheetName val="Cost of RCC NP2-NP3 SS pipes "/>
      <sheetName val="Man hole with Fly Ash Bricks"/>
      <sheetName val=" Brickwork Manhole "/>
      <sheetName val="cc pavement"/>
      <sheetName val="Conveyance"/>
    </sheetNames>
    <sheetDataSet>
      <sheetData sheetId="0" refreshError="1"/>
      <sheetData sheetId="1" refreshError="1"/>
      <sheetData sheetId="2" refreshError="1">
        <row r="2">
          <cell r="A2" t="str">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ell>
        </row>
        <row r="93">
          <cell r="B93" t="str">
            <v>Asst., Engineer</v>
          </cell>
          <cell r="F93" t="str">
            <v>Dy .Executive.Engineer</v>
          </cell>
        </row>
        <row r="94">
          <cell r="B94" t="str">
            <v>PR SD Amangal</v>
          </cell>
          <cell r="F94" t="str">
            <v>PR SD  Amangal</v>
          </cell>
        </row>
      </sheetData>
      <sheetData sheetId="3" refreshError="1"/>
      <sheetData sheetId="4" refreshError="1">
        <row r="1">
          <cell r="A1" t="str">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ell>
        </row>
        <row r="20">
          <cell r="H20">
            <v>70</v>
          </cell>
        </row>
        <row r="24">
          <cell r="Q24">
            <v>0.13600000000000001</v>
          </cell>
        </row>
        <row r="32">
          <cell r="B32" t="str">
            <v>Asst., Engineer</v>
          </cell>
          <cell r="K32" t="str">
            <v>Dy .Executive.Engineer</v>
          </cell>
        </row>
        <row r="33">
          <cell r="B33" t="str">
            <v>PR SD Amangal</v>
          </cell>
          <cell r="K33" t="str">
            <v>PR SD  Amangal</v>
          </cell>
        </row>
      </sheetData>
      <sheetData sheetId="5" refreshError="1">
        <row r="102">
          <cell r="C102" t="str">
            <v xml:space="preserve">Supplying and filling sand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APSS 309 &amp;310)  </v>
          </cell>
        </row>
        <row r="112">
          <cell r="G112">
            <v>983.54666666666662</v>
          </cell>
        </row>
      </sheetData>
      <sheetData sheetId="6" refreshError="1"/>
      <sheetData sheetId="7" refreshError="1">
        <row r="15">
          <cell r="G15">
            <v>443.47339999999997</v>
          </cell>
        </row>
      </sheetData>
      <sheetData sheetId="8" refreshError="1"/>
      <sheetData sheetId="9" refreshError="1">
        <row r="50">
          <cell r="C50" t="str">
            <v>Constructon  of  0.90 M   Circular Sewer Man hole of 0.90 mts x 0.55 m of 1.0 M depths with 2 nd Class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ell>
        </row>
        <row r="63">
          <cell r="C63" t="str">
            <v xml:space="preserve"> Additional manhole 0.10 M depth constructon  of 0.90 circular sewer man hole of 0.90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ell>
        </row>
      </sheetData>
      <sheetData sheetId="10" refreshError="1"/>
      <sheetData sheetId="11"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SPC"/>
      <sheetName val="EST"/>
      <sheetName val="Lead"/>
      <sheetName val="DATA"/>
      <sheetName val="Conveyance"/>
      <sheetName val="v"/>
    </sheetNames>
    <sheetDataSet>
      <sheetData sheetId="0" refreshError="1"/>
      <sheetData sheetId="1">
        <row r="102">
          <cell r="C102" t="str">
            <v>S&amp;F of MS Name board of size 2'.6"x4' including painting and required lettering</v>
          </cell>
        </row>
      </sheetData>
      <sheetData sheetId="2"/>
      <sheetData sheetId="3" refreshError="1"/>
      <sheetData sheetId="4" refreshError="1"/>
      <sheetData sheetId="5"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Inspection chambers"/>
      <sheetName val="NP 3 450 mm dia (2)"/>
      <sheetName val="Man Hole data 0.75m-0.90m1.20m"/>
      <sheetName val="Cover"/>
      <sheetName val="Laying Jointing of RCC SS pipe "/>
      <sheetName val="Cov"/>
      <sheetName val="Inspection Report"/>
      <sheetName val="Key Map"/>
      <sheetName val="Long Sect"/>
      <sheetName val="LS 2"/>
      <sheetName val="Spec Report"/>
      <sheetName val="Schedule A"/>
      <sheetName val="Final Estimate"/>
      <sheetName val="Seignorage Calculation"/>
      <sheetName val=" Estimate"/>
      <sheetName val="Man hole with 2nd Class  Bricks"/>
      <sheetName val=" Brickwork Manhole "/>
      <sheetName val="Lead"/>
      <sheetName val="Conveyance"/>
      <sheetName val="SPC"/>
      <sheetName val="EXTRA SHEET"/>
      <sheetName val="Sheet2"/>
      <sheetName val="Sheet1"/>
      <sheetName val=" Conv 19_20"/>
      <sheetName val="Datas P7"/>
      <sheetName val="Cost of RCC NP2-NP3 SS pipes "/>
      <sheetName val="pipes"/>
      <sheetName val="stoneware pipes"/>
      <sheetName val="Lead Chart 24-25"/>
      <sheetName val="Sheet4"/>
      <sheetName val="NP 3 800 mm dia (3)"/>
      <sheetName val="NP 3 1000 mm dia (4)"/>
      <sheetName val="NP 3 300"/>
      <sheetName val="NP 3 450 mm dia"/>
      <sheetName val="Abst Sht"/>
      <sheetName val="Lead 20-21"/>
      <sheetName val="Lead 20-21 P7"/>
      <sheetName val="NP 3 600"/>
      <sheetName val="BOQ"/>
      <sheetName val="Sheet6"/>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J12">
            <v>2664.27</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12">
          <cell r="N12">
            <v>1812.3700655723276</v>
          </cell>
        </row>
      </sheetData>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Inspection chambers"/>
      <sheetName val="NP 3 450 mm dia (2)"/>
      <sheetName val=" Estimate"/>
      <sheetName val="Man hole with Fly Ash Bricks"/>
      <sheetName val="Pipe Rates"/>
      <sheetName val="NP 3 800 mm dia (4)"/>
      <sheetName val="NP 3 600"/>
      <sheetName val="NP 3 450 mm dia"/>
      <sheetName val="NP 3 300"/>
      <sheetName val="Datas"/>
      <sheetName val="Stone Ware Pipes"/>
      <sheetName val="Lead 2022-23"/>
      <sheetName val="Man Hole data 0.75m-0.90m1.20m"/>
      <sheetName val="Cover"/>
      <sheetName val="Laying Jointing of RCC SS pipe "/>
      <sheetName val="Cost of RCC NP2-NP3 SS pipes "/>
      <sheetName val=" Brickwork Manhole "/>
      <sheetName val="Lead"/>
      <sheetName val="Conveyance"/>
      <sheetName val="SPC"/>
      <sheetName val="EXTRA SHEET"/>
      <sheetName val="Sheet2"/>
      <sheetName val="Sheet1"/>
      <sheetName val=" Conv 19_20"/>
      <sheetName val="NP 3 800 mm dia (3)"/>
      <sheetName val="NP 3 1000 mm dia (4)"/>
      <sheetName val="BOQ"/>
      <sheetName val="Abst Sht"/>
      <sheetName val="Design"/>
    </sheetNames>
    <sheetDataSet>
      <sheetData sheetId="0"/>
      <sheetData sheetId="1"/>
      <sheetData sheetId="2"/>
      <sheetData sheetId="3"/>
      <sheetData sheetId="4"/>
      <sheetData sheetId="5"/>
      <sheetData sheetId="6"/>
      <sheetData sheetId="7"/>
      <sheetData sheetId="8"/>
      <sheetData sheetId="9"/>
      <sheetData sheetId="10"/>
      <sheetData sheetId="11">
        <row r="16">
          <cell r="N16">
            <v>1826.7173788672271</v>
          </cell>
        </row>
        <row r="48">
          <cell r="J48">
            <v>0.25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Input Data"/>
      <sheetName val="Cover Page"/>
      <sheetName val="Note File"/>
      <sheetName val="GA"/>
      <sheetName val="Inspection Report"/>
      <sheetName val="SPR"/>
      <sheetName val="Key Map"/>
      <sheetName val="LS_2LS"/>
      <sheetName val="TRAFF-Count-ESAL-Cal"/>
      <sheetName val="ESAL-result"/>
      <sheetName val="ESAL-calculation "/>
      <sheetName val="ESAL-Data"/>
      <sheetName val="Cover"/>
      <sheetName val="google-map"/>
      <sheetName val="Schedule-A"/>
      <sheetName val="Schedule-A (Part-B)"/>
      <sheetName val="Road Estimate"/>
      <sheetName val="CD Abs"/>
      <sheetName val="Mtc-Abs"/>
      <sheetName val="MTS Esti"/>
      <sheetName val="MTC DAtas"/>
      <sheetName val="Mtc-data"/>
      <sheetName val="1V 1m dia Pipe Culverts"/>
      <sheetName val="2V 1m dia Pipe Culverts"/>
      <sheetName val="Road-furniture "/>
      <sheetName val="RSI-Estt"/>
      <sheetName val="Drain "/>
      <sheetName val="Seigneorage"/>
      <sheetName val="lead"/>
      <sheetName val="SSR-rates"/>
      <sheetName val="Road data"/>
      <sheetName val="Slab Culvert 1V 6m x 2m spa"/>
      <sheetName val="Slab Culvert 2V 6m x 2m spa"/>
      <sheetName val="Ret wall"/>
      <sheetName val="Road dam 30m"/>
      <sheetName val="Slab Culvert 1V 5m x 2m span"/>
      <sheetName val="Slab-Culverts Data"/>
      <sheetName val="Pipe data"/>
      <sheetName val="Road-Marks"/>
      <sheetName val="TENDER-NF"/>
      <sheetName val="Road Furniture-Data"/>
      <sheetName val="NP4 pipes"/>
      <sheetName val="NP4 collars"/>
      <sheetName val="TEMP-CAL"/>
    </sheetNames>
    <sheetDataSet>
      <sheetData sheetId="0"/>
      <sheetData sheetId="1"/>
      <sheetData sheetId="2"/>
      <sheetData sheetId="3"/>
      <sheetData sheetId="4">
        <row r="17">
          <cell r="D17">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Inspection chambers"/>
      <sheetName val="Datas"/>
      <sheetName val="Man Hole data 0.75m-0.90m1.20m"/>
      <sheetName val="Cover"/>
      <sheetName val="Laying Jointing of RCC SS pipe "/>
      <sheetName val="Cost of RCC NP2-NP3 SS pipes "/>
      <sheetName val="Man hole with Fly Ash Bricks"/>
      <sheetName val=" Estimate"/>
      <sheetName val=" Brickwork Manhole "/>
      <sheetName val="Lead"/>
      <sheetName val="Conveyance"/>
      <sheetName val="SPC"/>
      <sheetName val="EXTRA SHEET"/>
      <sheetName val="Sheet2"/>
      <sheetName val="Sheet1"/>
      <sheetName val=" Conv 19_20"/>
      <sheetName val="NP 3 600"/>
      <sheetName val="NP 3 450 mm dia"/>
      <sheetName val="NP 3 300"/>
      <sheetName val="Abstract"/>
      <sheetName val="BOQ"/>
      <sheetName val="EST"/>
    </sheetNames>
    <sheetDataSet>
      <sheetData sheetId="0"/>
      <sheetData sheetId="1"/>
      <sheetData sheetId="2"/>
      <sheetData sheetId="3"/>
      <sheetData sheetId="4"/>
      <sheetData sheetId="5"/>
      <sheetData sheetId="6"/>
      <sheetData sheetId="7">
        <row r="6">
          <cell r="B6" t="str">
            <v>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Mechanical  Means including Seigniorage Charges</v>
          </cell>
        </row>
        <row r="26">
          <cell r="B26" t="str">
            <v xml:space="preserve">Excavation for roadway in hard rock  with controlled  blasting by drilling, blasting and breaking, trimming of bottom and side slopes in accordance with requirements of lines, grades and cross-sections, loading and disposal of cut rock with all lifts and leads upto 1000 m  as per Technical Specification Clause 302.3.5 MORD / 301 MORTH including Seigniorage Charges </v>
          </cell>
        </row>
        <row r="30">
          <cell r="B30" t="str">
            <v>BLD-CSTN-2-8 (16): Collection ,Supply  and filling of Robo Sand from approved quarry to work site and stacking at work site to Dept. gauge for premeasurements    including cost and convenyance of all material and all labour charges etc. complete as per standard specifications. Clause 305.3.9 MORD &amp; 304 MORTH</v>
          </cell>
          <cell r="C30">
            <v>0</v>
          </cell>
          <cell r="D30">
            <v>0</v>
          </cell>
          <cell r="E30">
            <v>0</v>
          </cell>
          <cell r="F30">
            <v>0</v>
          </cell>
          <cell r="G30">
            <v>0</v>
          </cell>
          <cell r="H30">
            <v>0</v>
          </cell>
          <cell r="I30">
            <v>0</v>
          </cell>
        </row>
        <row r="39">
          <cell r="B39" t="str">
            <v>Refilling with excavated earth including watering, raming and all labour charges etc … complete</v>
          </cell>
        </row>
        <row r="48">
          <cell r="B48" t="str">
            <v>Carting of surplus excavated earth from the site to a distance suitable including loading, unloading charges, cost &amp; conveyance, dumping, labour charges, all leads &amp; lifts and other incidental and operational charges etc., complete.</v>
          </cell>
        </row>
        <row r="67">
          <cell r="B67" t="str">
            <v>Construction of Additional manhole 0.10 M depth constructon  of 0.90 circular sewer man hole of 0.90 mts depth with   Fly Ash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ell>
        </row>
        <row r="75">
          <cell r="B75" t="str">
            <v xml:space="preserve"> Construction of Additional manhole 0.10 mt depth constructon  of 1.20 circular sewer man hole of 1.0 mts depth with Fly Ash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ell>
        </row>
        <row r="78">
          <cell r="B78" t="str">
            <v>Manufacture as per BIS:12592 (Part 1&amp;2) Supply &amp; Delivery of manhole covers and frames H.D 35 with 560mm dia Clear Opening ISI marking anywhere in A.P., F.O.R. destination including, loading, un-loading &amp; stacking at site ., as applicable. I.S.I Mark</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sheetPr>
    <tabColor rgb="FF99FF33"/>
  </sheetPr>
  <dimension ref="A1:U71"/>
  <sheetViews>
    <sheetView view="pageBreakPreview" topLeftCell="A25" zoomScale="90" zoomScaleSheetLayoutView="90" workbookViewId="0">
      <selection activeCell="N34" sqref="N34"/>
    </sheetView>
  </sheetViews>
  <sheetFormatPr defaultColWidth="5.42578125" defaultRowHeight="22.5" customHeight="1"/>
  <cols>
    <col min="1" max="1" width="4" style="336" customWidth="1"/>
    <col min="2" max="2" width="58.28515625" style="299" customWidth="1"/>
    <col min="3" max="5" width="4.140625" style="299" customWidth="1"/>
    <col min="6" max="6" width="7.140625" style="299" customWidth="1"/>
    <col min="7" max="7" width="8.140625" style="299" customWidth="1"/>
    <col min="8" max="8" width="7.85546875" style="299" customWidth="1"/>
    <col min="9" max="9" width="8" style="299" customWidth="1"/>
    <col min="10" max="10" width="5.42578125" style="299"/>
    <col min="11" max="11" width="9.28515625" style="299" customWidth="1"/>
    <col min="12" max="12" width="4.85546875" style="299" customWidth="1"/>
    <col min="13" max="13" width="6.28515625" style="299" customWidth="1"/>
    <col min="14" max="14" width="11.5703125" style="299" customWidth="1"/>
    <col min="15" max="16" width="5.42578125" style="299"/>
    <col min="17" max="17" width="6" style="299" bestFit="1" customWidth="1"/>
    <col min="18" max="18" width="5.42578125" style="299"/>
    <col min="19" max="19" width="6" style="299" bestFit="1" customWidth="1"/>
    <col min="20" max="16384" width="5.42578125" style="299"/>
  </cols>
  <sheetData>
    <row r="1" spans="1:19" s="295" customFormat="1" ht="27" customHeight="1">
      <c r="A1" s="294">
        <v>1</v>
      </c>
      <c r="B1" s="1443" t="s">
        <v>558</v>
      </c>
      <c r="C1" s="1444"/>
      <c r="D1" s="1444"/>
      <c r="E1" s="1444"/>
      <c r="F1" s="1444"/>
      <c r="G1" s="1444"/>
      <c r="H1" s="1444"/>
      <c r="I1" s="1444"/>
      <c r="J1" s="1444"/>
      <c r="K1" s="1444"/>
      <c r="L1" s="1444"/>
      <c r="M1" s="1444"/>
      <c r="N1" s="1445"/>
    </row>
    <row r="2" spans="1:19" ht="14.25" customHeight="1">
      <c r="A2" s="296"/>
      <c r="B2" s="1437" t="s">
        <v>559</v>
      </c>
      <c r="C2" s="1438"/>
      <c r="D2" s="1438"/>
      <c r="E2" s="1438"/>
      <c r="F2" s="1438"/>
      <c r="G2" s="1439"/>
      <c r="H2" s="297">
        <v>0.9</v>
      </c>
      <c r="I2" s="297">
        <v>0.9</v>
      </c>
      <c r="J2" s="290"/>
      <c r="K2" s="298"/>
      <c r="L2" s="290"/>
      <c r="M2" s="290"/>
      <c r="N2" s="290"/>
    </row>
    <row r="3" spans="1:19" ht="14.25" customHeight="1">
      <c r="A3" s="296"/>
      <c r="B3" s="1437" t="s">
        <v>560</v>
      </c>
      <c r="C3" s="1438"/>
      <c r="D3" s="1438"/>
      <c r="E3" s="1438"/>
      <c r="F3" s="1438"/>
      <c r="G3" s="1439"/>
      <c r="H3" s="300">
        <v>0.22500000000000001</v>
      </c>
      <c r="I3" s="300">
        <v>0.22500000000000001</v>
      </c>
      <c r="J3" s="290"/>
      <c r="K3" s="297">
        <v>0.75</v>
      </c>
      <c r="L3" s="290" t="s">
        <v>561</v>
      </c>
      <c r="M3" s="290"/>
      <c r="N3" s="290"/>
    </row>
    <row r="4" spans="1:19" ht="14.25" customHeight="1">
      <c r="A4" s="296"/>
      <c r="B4" s="1437" t="s">
        <v>562</v>
      </c>
      <c r="C4" s="1438"/>
      <c r="D4" s="1438"/>
      <c r="E4" s="1438"/>
      <c r="F4" s="1438"/>
      <c r="G4" s="1439"/>
      <c r="H4" s="297">
        <f>H2+H3+I3</f>
        <v>1.35</v>
      </c>
      <c r="I4" s="297">
        <f>I2+H3+I3</f>
        <v>1.35</v>
      </c>
      <c r="J4" s="290"/>
      <c r="K4" s="298"/>
      <c r="L4" s="290"/>
      <c r="M4" s="290"/>
      <c r="N4" s="290"/>
    </row>
    <row r="5" spans="1:19" ht="14.25" customHeight="1">
      <c r="A5" s="296"/>
      <c r="B5" s="1437" t="s">
        <v>563</v>
      </c>
      <c r="C5" s="1438"/>
      <c r="D5" s="1438"/>
      <c r="E5" s="1438"/>
      <c r="F5" s="1438"/>
      <c r="G5" s="1439"/>
      <c r="H5" s="297">
        <v>0.1</v>
      </c>
      <c r="I5" s="297">
        <v>0.1</v>
      </c>
      <c r="J5" s="290"/>
      <c r="K5" s="301">
        <v>0.1</v>
      </c>
      <c r="L5" s="290"/>
      <c r="M5" s="290"/>
      <c r="N5" s="290"/>
    </row>
    <row r="6" spans="1:19" ht="14.25" customHeight="1">
      <c r="A6" s="296"/>
      <c r="B6" s="1437" t="s">
        <v>564</v>
      </c>
      <c r="C6" s="1438"/>
      <c r="D6" s="1438"/>
      <c r="E6" s="1438"/>
      <c r="F6" s="1438"/>
      <c r="G6" s="1439"/>
      <c r="H6" s="297">
        <f>H4+H5+0.2</f>
        <v>1.6500000000000001</v>
      </c>
      <c r="I6" s="297">
        <f>I4+I5+0.2</f>
        <v>1.6500000000000001</v>
      </c>
      <c r="J6" s="290"/>
      <c r="K6" s="302">
        <f>K3+K5</f>
        <v>0.85</v>
      </c>
      <c r="L6" s="290"/>
      <c r="M6" s="290"/>
      <c r="N6" s="290"/>
    </row>
    <row r="7" spans="1:19" ht="12.75">
      <c r="A7" s="296"/>
      <c r="B7" s="1440"/>
      <c r="C7" s="1441"/>
      <c r="D7" s="1441"/>
      <c r="E7" s="1441"/>
      <c r="F7" s="1441"/>
      <c r="G7" s="1441"/>
      <c r="H7" s="1441"/>
      <c r="I7" s="303"/>
      <c r="J7" s="303"/>
      <c r="K7" s="303"/>
      <c r="L7" s="303"/>
      <c r="M7" s="303"/>
      <c r="N7" s="304"/>
    </row>
    <row r="8" spans="1:19" ht="19.5" customHeight="1">
      <c r="A8" s="305" t="s">
        <v>591</v>
      </c>
      <c r="B8" s="306" t="s">
        <v>565</v>
      </c>
      <c r="C8" s="307"/>
      <c r="D8" s="307"/>
      <c r="E8" s="307"/>
      <c r="F8" s="1432" t="s">
        <v>158</v>
      </c>
      <c r="G8" s="1442"/>
      <c r="H8" s="1433"/>
      <c r="I8" s="1432" t="s">
        <v>159</v>
      </c>
      <c r="J8" s="1433"/>
      <c r="K8" s="308" t="s">
        <v>294</v>
      </c>
      <c r="L8" s="1434" t="s">
        <v>566</v>
      </c>
      <c r="M8" s="1434"/>
      <c r="N8" s="306" t="s">
        <v>567</v>
      </c>
    </row>
    <row r="9" spans="1:19" ht="100.5" customHeight="1">
      <c r="A9" s="296">
        <v>1</v>
      </c>
      <c r="B9" s="309" t="s">
        <v>568</v>
      </c>
      <c r="C9" s="309"/>
      <c r="D9" s="309"/>
      <c r="E9" s="309"/>
      <c r="F9" s="310"/>
      <c r="G9" s="310"/>
      <c r="H9" s="310"/>
      <c r="I9" s="310"/>
      <c r="J9" s="310"/>
      <c r="K9" s="311"/>
      <c r="L9" s="310"/>
      <c r="M9" s="310"/>
      <c r="N9" s="310"/>
    </row>
    <row r="10" spans="1:19" ht="12.75">
      <c r="A10" s="305"/>
      <c r="B10" s="310"/>
      <c r="C10" s="296">
        <v>1</v>
      </c>
      <c r="D10" s="296" t="s">
        <v>163</v>
      </c>
      <c r="E10" s="296">
        <v>1</v>
      </c>
      <c r="F10" s="312">
        <f>H6</f>
        <v>1.6500000000000001</v>
      </c>
      <c r="G10" s="312">
        <f>I6</f>
        <v>1.6500000000000001</v>
      </c>
      <c r="H10" s="312">
        <f>K3+K5</f>
        <v>0.85</v>
      </c>
      <c r="I10" s="300">
        <f>ROUND(PRODUCT(C10:H10),2)</f>
        <v>2.31</v>
      </c>
      <c r="J10" s="293" t="s">
        <v>109</v>
      </c>
      <c r="K10" s="313" t="e">
        <f>'Datas P7'!#REF!</f>
        <v>#REF!</v>
      </c>
      <c r="L10" s="292">
        <v>1</v>
      </c>
      <c r="M10" s="292" t="s">
        <v>109</v>
      </c>
      <c r="N10" s="293" t="e">
        <f>ROUND(I10*K10/L10,0)</f>
        <v>#REF!</v>
      </c>
    </row>
    <row r="11" spans="1:19" ht="112.5" customHeight="1">
      <c r="A11" s="296">
        <v>2</v>
      </c>
      <c r="B11" s="309" t="s">
        <v>569</v>
      </c>
      <c r="C11" s="309"/>
      <c r="D11" s="309"/>
      <c r="E11" s="309"/>
      <c r="F11" s="314"/>
      <c r="G11" s="314"/>
      <c r="H11" s="314"/>
      <c r="I11" s="314"/>
      <c r="J11" s="314"/>
      <c r="K11" s="315"/>
      <c r="L11" s="314"/>
      <c r="M11" s="314"/>
      <c r="N11" s="292"/>
    </row>
    <row r="12" spans="1:19" ht="12.75">
      <c r="A12" s="296"/>
      <c r="B12" s="292" t="s">
        <v>570</v>
      </c>
      <c r="C12" s="296">
        <v>1</v>
      </c>
      <c r="D12" s="296" t="s">
        <v>163</v>
      </c>
      <c r="E12" s="296">
        <v>1</v>
      </c>
      <c r="F12" s="293">
        <f>H4+H5+H5</f>
        <v>1.5500000000000003</v>
      </c>
      <c r="G12" s="293">
        <f>I4+I5+I5</f>
        <v>1.5500000000000003</v>
      </c>
      <c r="H12" s="316">
        <v>0.1</v>
      </c>
      <c r="I12" s="300">
        <f>ROUND(PRODUCT(C12:H12),2)</f>
        <v>0.24</v>
      </c>
      <c r="J12" s="293" t="s">
        <v>109</v>
      </c>
      <c r="K12" s="313">
        <f>'Datas P7'!G226</f>
        <v>5383.2900000000009</v>
      </c>
      <c r="L12" s="292">
        <v>1</v>
      </c>
      <c r="M12" s="292" t="s">
        <v>109</v>
      </c>
      <c r="N12" s="293">
        <f>ROUND(I12*K12/L12,0)</f>
        <v>1292</v>
      </c>
      <c r="P12" s="299" t="s">
        <v>24</v>
      </c>
      <c r="Q12" s="299">
        <f>I12*0.9</f>
        <v>0.216</v>
      </c>
      <c r="S12" s="299">
        <f>Q12*70</f>
        <v>15.12</v>
      </c>
    </row>
    <row r="13" spans="1:19" ht="89.25" customHeight="1">
      <c r="A13" s="296">
        <v>3</v>
      </c>
      <c r="B13" s="309" t="s">
        <v>605</v>
      </c>
      <c r="C13" s="309"/>
      <c r="D13" s="309"/>
      <c r="E13" s="309"/>
      <c r="F13" s="314"/>
      <c r="G13" s="292"/>
      <c r="H13" s="314"/>
      <c r="I13" s="314"/>
      <c r="J13" s="314"/>
      <c r="K13" s="315"/>
      <c r="L13" s="314"/>
      <c r="M13" s="314"/>
      <c r="N13" s="292"/>
      <c r="P13" s="299" t="s">
        <v>592</v>
      </c>
      <c r="Q13" s="299">
        <f>I12*0.45</f>
        <v>0.108</v>
      </c>
      <c r="S13" s="299">
        <f>Q13*40</f>
        <v>4.32</v>
      </c>
    </row>
    <row r="14" spans="1:19" ht="12.75">
      <c r="A14" s="296"/>
      <c r="B14" s="292" t="s">
        <v>572</v>
      </c>
      <c r="C14" s="296">
        <v>1</v>
      </c>
      <c r="D14" s="296" t="s">
        <v>163</v>
      </c>
      <c r="E14" s="296">
        <v>2</v>
      </c>
      <c r="F14" s="293">
        <f>I2+H3+I3</f>
        <v>1.35</v>
      </c>
      <c r="G14" s="316">
        <f>H3</f>
        <v>0.22500000000000001</v>
      </c>
      <c r="H14" s="293">
        <f>K6-H12-H25-H26</f>
        <v>0.57999999999999996</v>
      </c>
      <c r="I14" s="316">
        <f>ROUND(PRODUCT(C14:H14),2)</f>
        <v>0.35</v>
      </c>
      <c r="J14" s="293"/>
      <c r="K14" s="313"/>
      <c r="L14" s="292"/>
      <c r="M14" s="292"/>
      <c r="N14" s="293"/>
      <c r="P14" s="299" t="s">
        <v>592</v>
      </c>
      <c r="Q14" s="299">
        <f>0.1*I16</f>
        <v>5.7999999999999996E-2</v>
      </c>
      <c r="S14" s="299">
        <f>Q14*40</f>
        <v>2.3199999999999998</v>
      </c>
    </row>
    <row r="15" spans="1:19" ht="12.75">
      <c r="A15" s="296"/>
      <c r="B15" s="292" t="s">
        <v>573</v>
      </c>
      <c r="C15" s="296">
        <v>1</v>
      </c>
      <c r="D15" s="296" t="s">
        <v>163</v>
      </c>
      <c r="E15" s="296">
        <v>2</v>
      </c>
      <c r="F15" s="293">
        <f>H2</f>
        <v>0.9</v>
      </c>
      <c r="G15" s="316">
        <f>G14</f>
        <v>0.22500000000000001</v>
      </c>
      <c r="H15" s="293">
        <f>H14</f>
        <v>0.57999999999999996</v>
      </c>
      <c r="I15" s="316">
        <f>ROUND(PRODUCT(C15:H15),2)</f>
        <v>0.23</v>
      </c>
      <c r="J15" s="314"/>
      <c r="K15" s="315"/>
      <c r="L15" s="314"/>
      <c r="M15" s="314"/>
      <c r="N15" s="292"/>
    </row>
    <row r="16" spans="1:19" ht="12.75">
      <c r="A16" s="317"/>
      <c r="B16" s="317"/>
      <c r="C16" s="317"/>
      <c r="D16" s="293"/>
      <c r="E16" s="292"/>
      <c r="F16" s="293"/>
      <c r="G16" s="300"/>
      <c r="H16" s="293"/>
      <c r="I16" s="300">
        <f>SUM(I14:I15)</f>
        <v>0.57999999999999996</v>
      </c>
      <c r="J16" s="293" t="s">
        <v>109</v>
      </c>
      <c r="K16" s="313">
        <f>'Datas P7'!G273</f>
        <v>9540.84</v>
      </c>
      <c r="L16" s="292">
        <v>1</v>
      </c>
      <c r="M16" s="292" t="s">
        <v>109</v>
      </c>
      <c r="N16" s="293">
        <f>ROUND(I16*K16/L16,0)</f>
        <v>5534</v>
      </c>
    </row>
    <row r="17" spans="1:21" ht="76.5">
      <c r="A17" s="296">
        <f>A13+1</f>
        <v>4</v>
      </c>
      <c r="B17" s="309" t="s">
        <v>574</v>
      </c>
      <c r="C17" s="292"/>
      <c r="D17" s="292"/>
      <c r="E17" s="292"/>
      <c r="F17" s="293"/>
      <c r="G17" s="293"/>
      <c r="H17" s="293"/>
      <c r="I17" s="293"/>
      <c r="J17" s="293"/>
      <c r="K17" s="313"/>
      <c r="L17" s="292"/>
      <c r="M17" s="292"/>
      <c r="N17" s="293"/>
      <c r="Q17" s="299">
        <f>0.85+0.65</f>
        <v>1.5</v>
      </c>
    </row>
    <row r="18" spans="1:21" ht="12.75">
      <c r="A18" s="296"/>
      <c r="B18" s="318" t="s">
        <v>575</v>
      </c>
      <c r="C18" s="296">
        <v>1</v>
      </c>
      <c r="D18" s="296" t="s">
        <v>163</v>
      </c>
      <c r="E18" s="296">
        <v>2</v>
      </c>
      <c r="F18" s="293">
        <f>I4</f>
        <v>1.35</v>
      </c>
      <c r="G18" s="292"/>
      <c r="H18" s="316">
        <f>H14</f>
        <v>0.57999999999999996</v>
      </c>
      <c r="I18" s="316">
        <f>ROUND(PRODUCT(C18:H18),2)</f>
        <v>1.57</v>
      </c>
      <c r="J18" s="293"/>
      <c r="K18" s="313"/>
      <c r="L18" s="292"/>
      <c r="M18" s="292"/>
      <c r="N18" s="293"/>
    </row>
    <row r="19" spans="1:21" ht="12.75">
      <c r="A19" s="296"/>
      <c r="B19" s="318" t="s">
        <v>576</v>
      </c>
      <c r="C19" s="296">
        <v>1</v>
      </c>
      <c r="D19" s="296" t="s">
        <v>163</v>
      </c>
      <c r="E19" s="296">
        <v>2</v>
      </c>
      <c r="F19" s="293">
        <f>H4</f>
        <v>1.35</v>
      </c>
      <c r="G19" s="292"/>
      <c r="H19" s="316">
        <f>H15</f>
        <v>0.57999999999999996</v>
      </c>
      <c r="I19" s="316">
        <f>ROUND(PRODUCT(C19:H19),2)</f>
        <v>1.57</v>
      </c>
      <c r="J19" s="293"/>
      <c r="K19" s="313"/>
      <c r="L19" s="292"/>
      <c r="M19" s="292"/>
      <c r="N19" s="293"/>
    </row>
    <row r="20" spans="1:21" ht="12.75">
      <c r="A20" s="296"/>
      <c r="B20" s="318" t="s">
        <v>577</v>
      </c>
      <c r="C20" s="296">
        <v>1</v>
      </c>
      <c r="D20" s="296" t="s">
        <v>163</v>
      </c>
      <c r="E20" s="296">
        <v>2</v>
      </c>
      <c r="F20" s="293">
        <f>I2</f>
        <v>0.9</v>
      </c>
      <c r="G20" s="292"/>
      <c r="H20" s="316">
        <f>H15</f>
        <v>0.57999999999999996</v>
      </c>
      <c r="I20" s="316">
        <f>ROUND(PRODUCT(C20:H20),2)</f>
        <v>1.04</v>
      </c>
      <c r="J20" s="293"/>
      <c r="K20" s="313"/>
      <c r="L20" s="292"/>
      <c r="M20" s="292"/>
      <c r="N20" s="293"/>
      <c r="Q20" s="299">
        <f>Q17*2</f>
        <v>3</v>
      </c>
    </row>
    <row r="21" spans="1:21" ht="12.75">
      <c r="A21" s="296"/>
      <c r="B21" s="318" t="s">
        <v>578</v>
      </c>
      <c r="C21" s="296">
        <v>1</v>
      </c>
      <c r="D21" s="296" t="s">
        <v>163</v>
      </c>
      <c r="E21" s="296">
        <v>2</v>
      </c>
      <c r="F21" s="293">
        <f>H2</f>
        <v>0.9</v>
      </c>
      <c r="G21" s="292"/>
      <c r="H21" s="316">
        <f>H18</f>
        <v>0.57999999999999996</v>
      </c>
      <c r="I21" s="316">
        <f>ROUND(PRODUCT(C21:H21),2)</f>
        <v>1.04</v>
      </c>
      <c r="J21" s="293"/>
      <c r="K21" s="313"/>
      <c r="L21" s="292"/>
      <c r="M21" s="292"/>
      <c r="N21" s="293"/>
    </row>
    <row r="22" spans="1:21" ht="12.75">
      <c r="A22" s="296"/>
      <c r="B22" s="318" t="s">
        <v>579</v>
      </c>
      <c r="C22" s="296">
        <v>1</v>
      </c>
      <c r="D22" s="296" t="s">
        <v>163</v>
      </c>
      <c r="E22" s="296">
        <v>1</v>
      </c>
      <c r="F22" s="293">
        <f>H2</f>
        <v>0.9</v>
      </c>
      <c r="G22" s="293">
        <f>I2</f>
        <v>0.9</v>
      </c>
      <c r="H22" s="293"/>
      <c r="I22" s="316">
        <f>ROUND(PRODUCT(C22:H22),2)</f>
        <v>0.81</v>
      </c>
      <c r="J22" s="293"/>
      <c r="K22" s="313"/>
      <c r="L22" s="292"/>
      <c r="M22" s="292"/>
      <c r="N22" s="293"/>
    </row>
    <row r="23" spans="1:21" ht="12.75">
      <c r="A23" s="296"/>
      <c r="B23" s="309"/>
      <c r="C23" s="309"/>
      <c r="D23" s="309"/>
      <c r="E23" s="309"/>
      <c r="F23" s="314"/>
      <c r="G23" s="314"/>
      <c r="H23" s="314"/>
      <c r="I23" s="319">
        <f>SUM(I18:I22)</f>
        <v>6.0299999999999994</v>
      </c>
      <c r="J23" s="293" t="s">
        <v>580</v>
      </c>
      <c r="K23" s="313">
        <f>'Datas P7'!G298</f>
        <v>170.45499999999998</v>
      </c>
      <c r="L23" s="292">
        <v>1</v>
      </c>
      <c r="M23" s="293" t="str">
        <f>J23</f>
        <v>Sqm</v>
      </c>
      <c r="N23" s="293">
        <f>ROUND(I23*K23/L23,0)</f>
        <v>1028</v>
      </c>
      <c r="P23" s="299" t="s">
        <v>592</v>
      </c>
      <c r="Q23" s="299">
        <f>0.15*I23/10</f>
        <v>9.0449999999999989E-2</v>
      </c>
      <c r="S23" s="299">
        <f>Q23*40</f>
        <v>3.6179999999999994</v>
      </c>
    </row>
    <row r="24" spans="1:21" ht="102">
      <c r="A24" s="296">
        <f>A17+1</f>
        <v>5</v>
      </c>
      <c r="B24" s="309" t="s">
        <v>581</v>
      </c>
      <c r="C24" s="314"/>
      <c r="D24" s="314"/>
      <c r="E24" s="314"/>
      <c r="F24" s="292"/>
      <c r="G24" s="293"/>
      <c r="H24" s="292"/>
      <c r="I24" s="292"/>
      <c r="J24" s="292"/>
      <c r="K24" s="320"/>
      <c r="L24" s="292"/>
      <c r="M24" s="292"/>
      <c r="N24" s="292"/>
    </row>
    <row r="25" spans="1:21" ht="12.75">
      <c r="A25" s="296"/>
      <c r="B25" s="292" t="s">
        <v>582</v>
      </c>
      <c r="C25" s="296">
        <v>1</v>
      </c>
      <c r="D25" s="296" t="s">
        <v>163</v>
      </c>
      <c r="E25" s="296">
        <v>1</v>
      </c>
      <c r="F25" s="293">
        <f>ROUND(2*((H2+H3)+(I2+I3)),2)</f>
        <v>4.5</v>
      </c>
      <c r="G25" s="293">
        <f>I3</f>
        <v>0.22500000000000001</v>
      </c>
      <c r="H25" s="316">
        <v>0.05</v>
      </c>
      <c r="I25" s="316">
        <f>ROUND(PRODUCT(C25:H25),3)</f>
        <v>5.0999999999999997E-2</v>
      </c>
      <c r="J25" s="316"/>
      <c r="K25" s="320"/>
      <c r="L25" s="292"/>
      <c r="M25" s="292"/>
      <c r="N25" s="292"/>
      <c r="P25" s="299" t="s">
        <v>24</v>
      </c>
      <c r="Q25" s="299">
        <f>I29*0.9</f>
        <v>0.19890000000000002</v>
      </c>
      <c r="S25" s="299">
        <f>Q25*70</f>
        <v>13.923000000000002</v>
      </c>
      <c r="T25" s="321"/>
    </row>
    <row r="26" spans="1:21" ht="12.75">
      <c r="A26" s="296"/>
      <c r="B26" s="292" t="s">
        <v>583</v>
      </c>
      <c r="C26" s="296">
        <v>1</v>
      </c>
      <c r="D26" s="296" t="s">
        <v>163</v>
      </c>
      <c r="E26" s="296">
        <v>1</v>
      </c>
      <c r="F26" s="293">
        <f>H4</f>
        <v>1.35</v>
      </c>
      <c r="G26" s="293">
        <f>I4</f>
        <v>1.35</v>
      </c>
      <c r="H26" s="316">
        <v>0.12</v>
      </c>
      <c r="I26" s="316">
        <f>ROUND(PRODUCT(C26:H26),3)</f>
        <v>0.219</v>
      </c>
      <c r="J26" s="316"/>
      <c r="K26" s="320"/>
      <c r="L26" s="292"/>
      <c r="M26" s="292"/>
      <c r="N26" s="292"/>
      <c r="T26" s="321"/>
    </row>
    <row r="27" spans="1:21" ht="12.75">
      <c r="A27" s="296"/>
      <c r="B27" s="292" t="s">
        <v>584</v>
      </c>
      <c r="C27" s="296">
        <v>1</v>
      </c>
      <c r="D27" s="296" t="s">
        <v>163</v>
      </c>
      <c r="E27" s="296">
        <v>1</v>
      </c>
      <c r="F27" s="293">
        <v>0.6</v>
      </c>
      <c r="G27" s="293">
        <v>0.45</v>
      </c>
      <c r="H27" s="322">
        <f>(50+75)/(2*1000)</f>
        <v>6.25E-2</v>
      </c>
      <c r="I27" s="316">
        <f>ROUND(PRODUCT(C27:H27),3)</f>
        <v>1.7000000000000001E-2</v>
      </c>
      <c r="J27" s="316"/>
      <c r="K27" s="320"/>
      <c r="L27" s="292"/>
      <c r="M27" s="292"/>
      <c r="N27" s="292"/>
      <c r="T27" s="321"/>
    </row>
    <row r="28" spans="1:21" ht="12.75">
      <c r="A28" s="296"/>
      <c r="B28" s="292" t="s">
        <v>585</v>
      </c>
      <c r="C28" s="296">
        <v>-1</v>
      </c>
      <c r="D28" s="296" t="s">
        <v>163</v>
      </c>
      <c r="E28" s="296">
        <v>1</v>
      </c>
      <c r="F28" s="293">
        <v>0.67</v>
      </c>
      <c r="G28" s="293">
        <v>0.82</v>
      </c>
      <c r="H28" s="316">
        <f>H26</f>
        <v>0.12</v>
      </c>
      <c r="I28" s="316">
        <f>ROUND(PRODUCT(C28:H28),3)</f>
        <v>-6.6000000000000003E-2</v>
      </c>
      <c r="J28" s="316"/>
      <c r="K28" s="320"/>
      <c r="L28" s="292"/>
      <c r="M28" s="292"/>
      <c r="N28" s="292"/>
      <c r="P28" s="299" t="s">
        <v>592</v>
      </c>
      <c r="Q28" s="299">
        <f>I29*0.4</f>
        <v>8.840000000000002E-2</v>
      </c>
      <c r="S28" s="299">
        <f>Q28*40</f>
        <v>3.5360000000000009</v>
      </c>
      <c r="T28" s="321"/>
    </row>
    <row r="29" spans="1:21" ht="12.75">
      <c r="A29" s="296"/>
      <c r="B29" s="292"/>
      <c r="C29" s="292"/>
      <c r="D29" s="292"/>
      <c r="E29" s="292"/>
      <c r="F29" s="292"/>
      <c r="G29" s="293"/>
      <c r="H29" s="293"/>
      <c r="I29" s="300">
        <f>SUM(I25:I28)</f>
        <v>0.22100000000000003</v>
      </c>
      <c r="J29" s="293" t="s">
        <v>109</v>
      </c>
      <c r="K29" s="313" t="e">
        <f>'Datas P7'!#REF!</f>
        <v>#REF!</v>
      </c>
      <c r="L29" s="292">
        <v>1</v>
      </c>
      <c r="M29" s="293" t="str">
        <f>J29</f>
        <v>Cum</v>
      </c>
      <c r="N29" s="293" t="e">
        <f>ROUND(I29*K29/L29,0)</f>
        <v>#REF!</v>
      </c>
    </row>
    <row r="30" spans="1:21" ht="38.25">
      <c r="A30" s="296">
        <f>A24+1</f>
        <v>6</v>
      </c>
      <c r="B30" s="309" t="s">
        <v>586</v>
      </c>
      <c r="C30" s="309"/>
      <c r="D30" s="309"/>
      <c r="E30" s="309"/>
      <c r="F30" s="292"/>
      <c r="G30" s="293"/>
      <c r="H30" s="293"/>
      <c r="I30" s="293"/>
      <c r="J30" s="316"/>
      <c r="K30" s="323"/>
      <c r="L30" s="292"/>
      <c r="M30" s="292"/>
      <c r="N30" s="292"/>
      <c r="S30" s="324">
        <f>SUM(S12:S29)</f>
        <v>42.837000000000003</v>
      </c>
      <c r="U30" s="299" t="e">
        <f>S30*100/N34</f>
        <v>#REF!</v>
      </c>
    </row>
    <row r="31" spans="1:21" ht="13.5" customHeight="1">
      <c r="A31" s="296"/>
      <c r="B31" s="318" t="s">
        <v>616</v>
      </c>
      <c r="C31" s="296">
        <v>1</v>
      </c>
      <c r="D31" s="296" t="s">
        <v>163</v>
      </c>
      <c r="E31" s="296">
        <v>1</v>
      </c>
      <c r="F31" s="293"/>
      <c r="G31" s="293"/>
      <c r="H31" s="293"/>
      <c r="I31" s="325">
        <f>ROUND(PRODUCT(C31:H31),2)</f>
        <v>1</v>
      </c>
      <c r="J31" s="314" t="s">
        <v>588</v>
      </c>
      <c r="K31" s="326">
        <v>1989</v>
      </c>
      <c r="L31" s="292">
        <v>1</v>
      </c>
      <c r="M31" s="293" t="str">
        <f>J31</f>
        <v>No</v>
      </c>
      <c r="N31" s="293">
        <f>ROUND(I31*K31/L31,0)</f>
        <v>1989</v>
      </c>
    </row>
    <row r="32" spans="1:21" ht="38.25" customHeight="1">
      <c r="A32" s="296">
        <f>A30+1</f>
        <v>7</v>
      </c>
      <c r="B32" s="309" t="s">
        <v>589</v>
      </c>
      <c r="C32" s="296"/>
      <c r="D32" s="296"/>
      <c r="E32" s="296"/>
      <c r="F32" s="293"/>
      <c r="G32" s="293"/>
      <c r="H32" s="293"/>
      <c r="I32" s="325"/>
      <c r="J32" s="314"/>
      <c r="K32" s="326"/>
      <c r="L32" s="292"/>
      <c r="M32" s="293"/>
      <c r="N32" s="293"/>
    </row>
    <row r="33" spans="1:19" ht="13.5" customHeight="1">
      <c r="A33" s="296"/>
      <c r="B33" s="318"/>
      <c r="C33" s="296">
        <v>1</v>
      </c>
      <c r="D33" s="296" t="s">
        <v>163</v>
      </c>
      <c r="E33" s="296">
        <v>1</v>
      </c>
      <c r="F33" s="293"/>
      <c r="G33" s="293"/>
      <c r="H33" s="293"/>
      <c r="I33" s="325">
        <f>ROUND(PRODUCT(C33:H33),2)</f>
        <v>1</v>
      </c>
      <c r="J33" s="314" t="s">
        <v>588</v>
      </c>
      <c r="K33" s="326">
        <f>'[14]data-MH'!H271</f>
        <v>71.600000000000009</v>
      </c>
      <c r="L33" s="292">
        <v>1</v>
      </c>
      <c r="M33" s="293" t="str">
        <f>J33</f>
        <v>No</v>
      </c>
      <c r="N33" s="293">
        <f>ROUND(I33*K33/L33,0)</f>
        <v>72</v>
      </c>
    </row>
    <row r="34" spans="1:19" ht="13.5" customHeight="1">
      <c r="A34" s="296"/>
      <c r="B34" s="291"/>
      <c r="C34" s="291"/>
      <c r="D34" s="291"/>
      <c r="E34" s="291"/>
      <c r="F34" s="292"/>
      <c r="G34" s="292"/>
      <c r="H34" s="292"/>
      <c r="I34" s="292"/>
      <c r="J34" s="292"/>
      <c r="K34" s="1435" t="s">
        <v>590</v>
      </c>
      <c r="L34" s="1436"/>
      <c r="M34" s="292"/>
      <c r="N34" s="327" t="e">
        <f>ROUND(SUM(N10:N33),0)</f>
        <v>#REF!</v>
      </c>
    </row>
    <row r="35" spans="1:19" s="334" customFormat="1" ht="13.5" customHeight="1">
      <c r="A35" s="328"/>
      <c r="B35" s="329"/>
      <c r="C35" s="330"/>
      <c r="D35" s="330"/>
      <c r="E35" s="330"/>
      <c r="F35" s="331"/>
      <c r="G35" s="331"/>
      <c r="H35" s="331"/>
      <c r="I35" s="331"/>
      <c r="J35" s="331"/>
      <c r="K35" s="332"/>
      <c r="L35" s="332"/>
      <c r="M35" s="331"/>
      <c r="N35" s="333"/>
    </row>
    <row r="36" spans="1:19" s="295" customFormat="1" ht="15.75">
      <c r="A36" s="294">
        <v>1</v>
      </c>
      <c r="B36" s="1443" t="s">
        <v>593</v>
      </c>
      <c r="C36" s="1444"/>
      <c r="D36" s="1444"/>
      <c r="E36" s="1444"/>
      <c r="F36" s="1444"/>
      <c r="G36" s="1444"/>
      <c r="H36" s="1444"/>
      <c r="I36" s="1444"/>
      <c r="J36" s="1444"/>
      <c r="K36" s="1444"/>
      <c r="L36" s="1444"/>
      <c r="M36" s="1444"/>
      <c r="N36" s="1445"/>
    </row>
    <row r="37" spans="1:19" ht="12.75">
      <c r="A37" s="296"/>
      <c r="B37" s="1437" t="s">
        <v>559</v>
      </c>
      <c r="C37" s="1438"/>
      <c r="D37" s="1438"/>
      <c r="E37" s="1438"/>
      <c r="F37" s="1438"/>
      <c r="G37" s="1439"/>
      <c r="H37" s="297">
        <v>0.45</v>
      </c>
      <c r="I37" s="297">
        <v>0.6</v>
      </c>
      <c r="J37" s="290"/>
      <c r="K37" s="298"/>
      <c r="L37" s="290"/>
      <c r="M37" s="290"/>
      <c r="N37" s="290"/>
    </row>
    <row r="38" spans="1:19" ht="12.75">
      <c r="A38" s="296"/>
      <c r="B38" s="1437" t="s">
        <v>594</v>
      </c>
      <c r="C38" s="1438"/>
      <c r="D38" s="1438"/>
      <c r="E38" s="1438"/>
      <c r="F38" s="1438"/>
      <c r="G38" s="1439"/>
      <c r="H38" s="300">
        <v>0.15</v>
      </c>
      <c r="I38" s="300">
        <v>0.15</v>
      </c>
      <c r="J38" s="290"/>
      <c r="K38" s="297">
        <v>0.75</v>
      </c>
      <c r="L38" s="290" t="s">
        <v>561</v>
      </c>
      <c r="M38" s="290"/>
      <c r="N38" s="290"/>
    </row>
    <row r="39" spans="1:19" ht="12.75">
      <c r="A39" s="296"/>
      <c r="B39" s="1437" t="s">
        <v>562</v>
      </c>
      <c r="C39" s="1438"/>
      <c r="D39" s="1438"/>
      <c r="E39" s="1438"/>
      <c r="F39" s="1438"/>
      <c r="G39" s="1439"/>
      <c r="H39" s="297">
        <f>H37+H38+I38</f>
        <v>0.75</v>
      </c>
      <c r="I39" s="297">
        <f>I37+H38+I38</f>
        <v>0.9</v>
      </c>
      <c r="J39" s="290"/>
      <c r="K39" s="298"/>
      <c r="L39" s="290"/>
      <c r="M39" s="290"/>
      <c r="N39" s="290"/>
    </row>
    <row r="40" spans="1:19" ht="12.75">
      <c r="A40" s="296"/>
      <c r="B40" s="1437" t="s">
        <v>563</v>
      </c>
      <c r="C40" s="1438"/>
      <c r="D40" s="1438"/>
      <c r="E40" s="1438"/>
      <c r="F40" s="1438"/>
      <c r="G40" s="1439"/>
      <c r="H40" s="297">
        <v>0.05</v>
      </c>
      <c r="I40" s="297">
        <v>0.05</v>
      </c>
      <c r="J40" s="290"/>
      <c r="K40" s="301">
        <v>0.1</v>
      </c>
      <c r="L40" s="290"/>
      <c r="M40" s="290"/>
      <c r="N40" s="290"/>
    </row>
    <row r="41" spans="1:19" ht="12.75">
      <c r="A41" s="296"/>
      <c r="B41" s="1437" t="s">
        <v>564</v>
      </c>
      <c r="C41" s="1438"/>
      <c r="D41" s="1438"/>
      <c r="E41" s="1438"/>
      <c r="F41" s="1438"/>
      <c r="G41" s="1439"/>
      <c r="H41" s="297">
        <f>H39+H40+0.2</f>
        <v>1</v>
      </c>
      <c r="I41" s="297">
        <f>I39+I40+0.2</f>
        <v>1.1500000000000001</v>
      </c>
      <c r="J41" s="290"/>
      <c r="K41" s="302">
        <f>K38+K40</f>
        <v>0.85</v>
      </c>
      <c r="L41" s="290"/>
      <c r="M41" s="290"/>
      <c r="N41" s="290"/>
    </row>
    <row r="42" spans="1:19" ht="12.75">
      <c r="A42" s="296"/>
      <c r="B42" s="1440"/>
      <c r="C42" s="1441"/>
      <c r="D42" s="1441"/>
      <c r="E42" s="1441"/>
      <c r="F42" s="1441"/>
      <c r="G42" s="1441"/>
      <c r="H42" s="1441"/>
      <c r="I42" s="303"/>
      <c r="J42" s="303"/>
      <c r="K42" s="303"/>
      <c r="L42" s="303"/>
      <c r="M42" s="303"/>
      <c r="N42" s="304"/>
    </row>
    <row r="43" spans="1:19" ht="25.5">
      <c r="A43" s="305" t="s">
        <v>591</v>
      </c>
      <c r="B43" s="306" t="s">
        <v>565</v>
      </c>
      <c r="C43" s="307"/>
      <c r="D43" s="307"/>
      <c r="E43" s="307"/>
      <c r="F43" s="1432" t="s">
        <v>158</v>
      </c>
      <c r="G43" s="1442"/>
      <c r="H43" s="1433"/>
      <c r="I43" s="1432" t="s">
        <v>159</v>
      </c>
      <c r="J43" s="1433"/>
      <c r="K43" s="308" t="s">
        <v>294</v>
      </c>
      <c r="L43" s="1434" t="s">
        <v>566</v>
      </c>
      <c r="M43" s="1434"/>
      <c r="N43" s="306" t="s">
        <v>567</v>
      </c>
      <c r="P43" s="299">
        <f>12.36+4</f>
        <v>16.36</v>
      </c>
    </row>
    <row r="44" spans="1:19" ht="108.75" customHeight="1">
      <c r="A44" s="296">
        <v>1</v>
      </c>
      <c r="B44" s="309" t="s">
        <v>568</v>
      </c>
      <c r="C44" s="309"/>
      <c r="D44" s="309"/>
      <c r="E44" s="309"/>
      <c r="F44" s="310"/>
      <c r="G44" s="310"/>
      <c r="H44" s="310"/>
      <c r="I44" s="310"/>
      <c r="J44" s="310"/>
      <c r="K44" s="311"/>
      <c r="L44" s="310"/>
      <c r="M44" s="310"/>
      <c r="N44" s="310"/>
    </row>
    <row r="45" spans="1:19" ht="12.75">
      <c r="A45" s="305"/>
      <c r="B45" s="310"/>
      <c r="C45" s="296">
        <v>1</v>
      </c>
      <c r="D45" s="296" t="s">
        <v>163</v>
      </c>
      <c r="E45" s="296">
        <v>1</v>
      </c>
      <c r="F45" s="312">
        <f>H41</f>
        <v>1</v>
      </c>
      <c r="G45" s="312">
        <f>I41</f>
        <v>1.1500000000000001</v>
      </c>
      <c r="H45" s="312">
        <f>K38+K40</f>
        <v>0.85</v>
      </c>
      <c r="I45" s="300">
        <f>ROUND(PRODUCT(C45:H45),2)</f>
        <v>0.98</v>
      </c>
      <c r="J45" s="293" t="s">
        <v>109</v>
      </c>
      <c r="K45" s="313" t="e">
        <f>K10</f>
        <v>#REF!</v>
      </c>
      <c r="L45" s="292">
        <v>1</v>
      </c>
      <c r="M45" s="292" t="s">
        <v>109</v>
      </c>
      <c r="N45" s="293" t="e">
        <f>ROUND(I45*K45/L45,0)</f>
        <v>#REF!</v>
      </c>
    </row>
    <row r="46" spans="1:19" ht="112.5" customHeight="1">
      <c r="A46" s="296">
        <v>2</v>
      </c>
      <c r="B46" s="309" t="s">
        <v>595</v>
      </c>
      <c r="C46" s="309"/>
      <c r="D46" s="309"/>
      <c r="E46" s="309"/>
      <c r="F46" s="314"/>
      <c r="G46" s="314"/>
      <c r="H46" s="314"/>
      <c r="I46" s="314"/>
      <c r="J46" s="314"/>
      <c r="K46" s="315"/>
      <c r="L46" s="314"/>
      <c r="M46" s="314"/>
      <c r="N46" s="292"/>
    </row>
    <row r="47" spans="1:19" ht="12.75">
      <c r="A47" s="296"/>
      <c r="B47" s="335" t="s">
        <v>596</v>
      </c>
      <c r="C47" s="296">
        <v>1</v>
      </c>
      <c r="D47" s="296" t="s">
        <v>163</v>
      </c>
      <c r="E47" s="296">
        <v>1</v>
      </c>
      <c r="F47" s="293">
        <f>H39+H40</f>
        <v>0.8</v>
      </c>
      <c r="G47" s="293">
        <f>F47</f>
        <v>0.8</v>
      </c>
      <c r="H47" s="316">
        <v>0.1</v>
      </c>
      <c r="I47" s="300">
        <f>ROUND(PRODUCT(C47:H47),2)</f>
        <v>0.06</v>
      </c>
      <c r="J47" s="293" t="s">
        <v>109</v>
      </c>
      <c r="K47" s="313">
        <f>K12</f>
        <v>5383.2900000000009</v>
      </c>
      <c r="L47" s="292">
        <v>1</v>
      </c>
      <c r="M47" s="292" t="s">
        <v>109</v>
      </c>
      <c r="N47" s="293">
        <f>ROUND(I47*K47/L47,0)</f>
        <v>323</v>
      </c>
      <c r="P47" s="299" t="s">
        <v>24</v>
      </c>
      <c r="Q47" s="299">
        <f>I47*0.9</f>
        <v>5.3999999999999999E-2</v>
      </c>
      <c r="S47" s="299">
        <f>Q47*70</f>
        <v>3.78</v>
      </c>
    </row>
    <row r="48" spans="1:19" ht="99" customHeight="1">
      <c r="A48" s="296">
        <v>3</v>
      </c>
      <c r="B48" s="309" t="s">
        <v>597</v>
      </c>
      <c r="C48" s="309"/>
      <c r="D48" s="309"/>
      <c r="E48" s="309"/>
      <c r="F48" s="314"/>
      <c r="G48" s="292"/>
      <c r="H48" s="314"/>
      <c r="I48" s="314"/>
      <c r="J48" s="314"/>
      <c r="K48" s="315"/>
      <c r="L48" s="314"/>
      <c r="M48" s="314"/>
      <c r="N48" s="292"/>
      <c r="P48" s="299" t="s">
        <v>592</v>
      </c>
      <c r="Q48" s="299">
        <f>I47*0.45</f>
        <v>2.7E-2</v>
      </c>
      <c r="S48" s="299">
        <f>Q48*40</f>
        <v>1.08</v>
      </c>
    </row>
    <row r="49" spans="1:20" ht="12.75">
      <c r="A49" s="296"/>
      <c r="B49" s="292" t="s">
        <v>572</v>
      </c>
      <c r="C49" s="296">
        <v>1</v>
      </c>
      <c r="D49" s="296" t="s">
        <v>163</v>
      </c>
      <c r="E49" s="296">
        <v>2</v>
      </c>
      <c r="F49" s="293">
        <f>I37+H38+I38</f>
        <v>0.9</v>
      </c>
      <c r="G49" s="316">
        <f>H38</f>
        <v>0.15</v>
      </c>
      <c r="H49" s="293">
        <f>K38</f>
        <v>0.75</v>
      </c>
      <c r="I49" s="316">
        <f>ROUND(PRODUCT(C49:H49),2)</f>
        <v>0.2</v>
      </c>
      <c r="J49" s="293"/>
      <c r="K49" s="313"/>
      <c r="L49" s="292"/>
      <c r="M49" s="292"/>
      <c r="N49" s="293"/>
      <c r="P49" s="299" t="s">
        <v>592</v>
      </c>
      <c r="Q49" s="299">
        <f>0.1*I51</f>
        <v>3.0000000000000006E-2</v>
      </c>
      <c r="S49" s="299">
        <f>Q49*40</f>
        <v>1.2000000000000002</v>
      </c>
    </row>
    <row r="50" spans="1:20" ht="12.75">
      <c r="A50" s="296"/>
      <c r="B50" s="292" t="s">
        <v>573</v>
      </c>
      <c r="C50" s="296">
        <v>1</v>
      </c>
      <c r="D50" s="296" t="s">
        <v>163</v>
      </c>
      <c r="E50" s="296">
        <v>2</v>
      </c>
      <c r="F50" s="293">
        <f>H37</f>
        <v>0.45</v>
      </c>
      <c r="G50" s="316">
        <f>G49</f>
        <v>0.15</v>
      </c>
      <c r="H50" s="293">
        <f>H49</f>
        <v>0.75</v>
      </c>
      <c r="I50" s="316">
        <f>ROUND(PRODUCT(C50:H50),2)</f>
        <v>0.1</v>
      </c>
      <c r="J50" s="314"/>
      <c r="K50" s="315"/>
      <c r="L50" s="314"/>
      <c r="M50" s="314"/>
      <c r="N50" s="292"/>
    </row>
    <row r="51" spans="1:20" ht="12.75">
      <c r="A51" s="317"/>
      <c r="B51" s="317"/>
      <c r="C51" s="317"/>
      <c r="D51" s="293"/>
      <c r="E51" s="292"/>
      <c r="F51" s="293"/>
      <c r="G51" s="300"/>
      <c r="H51" s="293"/>
      <c r="I51" s="300">
        <f>SUM(I49:I50)</f>
        <v>0.30000000000000004</v>
      </c>
      <c r="J51" s="293" t="s">
        <v>109</v>
      </c>
      <c r="K51" s="313" t="e">
        <f>#REF!</f>
        <v>#REF!</v>
      </c>
      <c r="L51" s="292">
        <v>1</v>
      </c>
      <c r="M51" s="292" t="s">
        <v>109</v>
      </c>
      <c r="N51" s="293" t="e">
        <f>ROUND(I51*K51/L51,0)</f>
        <v>#REF!</v>
      </c>
    </row>
    <row r="52" spans="1:20" ht="76.5">
      <c r="A52" s="296">
        <f>A48+1</f>
        <v>4</v>
      </c>
      <c r="B52" s="309" t="s">
        <v>598</v>
      </c>
      <c r="C52" s="317"/>
      <c r="D52" s="293"/>
      <c r="E52" s="292"/>
      <c r="F52" s="293"/>
      <c r="G52" s="300"/>
      <c r="H52" s="293"/>
      <c r="I52" s="300"/>
      <c r="J52" s="293"/>
      <c r="K52" s="313"/>
      <c r="L52" s="292"/>
      <c r="M52" s="292"/>
      <c r="N52" s="293"/>
    </row>
    <row r="53" spans="1:20" ht="12.75">
      <c r="A53" s="296"/>
      <c r="B53" s="318" t="s">
        <v>575</v>
      </c>
      <c r="C53" s="296">
        <v>1</v>
      </c>
      <c r="D53" s="296" t="s">
        <v>163</v>
      </c>
      <c r="E53" s="296">
        <v>2</v>
      </c>
      <c r="F53" s="293">
        <f>I39</f>
        <v>0.9</v>
      </c>
      <c r="G53" s="292"/>
      <c r="H53" s="293">
        <f>H49</f>
        <v>0.75</v>
      </c>
      <c r="I53" s="316">
        <f>ROUND(PRODUCT(C53:H53),2)</f>
        <v>1.35</v>
      </c>
      <c r="J53" s="293"/>
      <c r="K53" s="313"/>
      <c r="L53" s="292"/>
      <c r="M53" s="292"/>
      <c r="N53" s="293"/>
    </row>
    <row r="54" spans="1:20" ht="12.75">
      <c r="A54" s="296"/>
      <c r="B54" s="318" t="s">
        <v>576</v>
      </c>
      <c r="C54" s="296">
        <v>1</v>
      </c>
      <c r="D54" s="296" t="s">
        <v>163</v>
      </c>
      <c r="E54" s="296">
        <v>2</v>
      </c>
      <c r="F54" s="293">
        <f>H39</f>
        <v>0.75</v>
      </c>
      <c r="G54" s="292"/>
      <c r="H54" s="293">
        <f>H50</f>
        <v>0.75</v>
      </c>
      <c r="I54" s="316">
        <f>ROUND(PRODUCT(C54:H54),2)</f>
        <v>1.1299999999999999</v>
      </c>
      <c r="J54" s="293"/>
      <c r="K54" s="313"/>
      <c r="L54" s="292"/>
      <c r="M54" s="292"/>
      <c r="N54" s="293"/>
    </row>
    <row r="55" spans="1:20" ht="12.75">
      <c r="A55" s="317"/>
      <c r="B55" s="317"/>
      <c r="C55" s="317"/>
      <c r="D55" s="293"/>
      <c r="E55" s="292"/>
      <c r="F55" s="293"/>
      <c r="G55" s="300"/>
      <c r="H55" s="293"/>
      <c r="I55" s="300">
        <f>SUM(I53:I54)</f>
        <v>2.48</v>
      </c>
      <c r="J55" s="293" t="s">
        <v>580</v>
      </c>
      <c r="K55" s="313">
        <f>'[14]data-Bld-15-16'!H1667</f>
        <v>122.05</v>
      </c>
      <c r="L55" s="292">
        <v>1</v>
      </c>
      <c r="M55" s="293" t="str">
        <f>J55</f>
        <v>Sqm</v>
      </c>
      <c r="N55" s="293">
        <f>ROUND(I55*K55/L55,0)</f>
        <v>303</v>
      </c>
    </row>
    <row r="56" spans="1:20" ht="76.5">
      <c r="A56" s="296">
        <f>A52+1</f>
        <v>5</v>
      </c>
      <c r="B56" s="309" t="s">
        <v>599</v>
      </c>
      <c r="C56" s="292"/>
      <c r="D56" s="292"/>
      <c r="E56" s="292"/>
      <c r="F56" s="293"/>
      <c r="G56" s="293"/>
      <c r="H56" s="293"/>
      <c r="I56" s="293"/>
      <c r="J56" s="293"/>
      <c r="K56" s="313"/>
      <c r="L56" s="292"/>
      <c r="M56" s="292"/>
      <c r="N56" s="293"/>
    </row>
    <row r="57" spans="1:20" ht="12.75">
      <c r="A57" s="296"/>
      <c r="B57" s="318" t="s">
        <v>577</v>
      </c>
      <c r="C57" s="296">
        <v>1</v>
      </c>
      <c r="D57" s="296" t="s">
        <v>163</v>
      </c>
      <c r="E57" s="296">
        <v>2</v>
      </c>
      <c r="F57" s="293">
        <f>I37</f>
        <v>0.6</v>
      </c>
      <c r="G57" s="292"/>
      <c r="H57" s="293">
        <f>K49-H55-H70-H71</f>
        <v>0</v>
      </c>
      <c r="I57" s="316">
        <f>ROUND(PRODUCT(C57:H57),2)</f>
        <v>0</v>
      </c>
      <c r="J57" s="293"/>
      <c r="K57" s="313"/>
      <c r="L57" s="292"/>
      <c r="M57" s="292"/>
      <c r="N57" s="293"/>
    </row>
    <row r="58" spans="1:20" ht="12.75">
      <c r="A58" s="296"/>
      <c r="B58" s="318" t="s">
        <v>578</v>
      </c>
      <c r="C58" s="296">
        <v>1</v>
      </c>
      <c r="D58" s="296" t="s">
        <v>163</v>
      </c>
      <c r="E58" s="296">
        <v>2</v>
      </c>
      <c r="F58" s="293">
        <f>H37</f>
        <v>0.45</v>
      </c>
      <c r="G58" s="292"/>
      <c r="H58" s="293">
        <f>H57</f>
        <v>0</v>
      </c>
      <c r="I58" s="316">
        <f>ROUND(PRODUCT(C58:H58),2)</f>
        <v>0</v>
      </c>
      <c r="J58" s="293"/>
      <c r="K58" s="313"/>
      <c r="L58" s="292"/>
      <c r="M58" s="292"/>
      <c r="N58" s="293"/>
    </row>
    <row r="59" spans="1:20" ht="12.75">
      <c r="A59" s="296"/>
      <c r="B59" s="318" t="s">
        <v>579</v>
      </c>
      <c r="C59" s="296">
        <v>1</v>
      </c>
      <c r="D59" s="296" t="s">
        <v>163</v>
      </c>
      <c r="E59" s="296">
        <v>1</v>
      </c>
      <c r="F59" s="293">
        <f>H37</f>
        <v>0.45</v>
      </c>
      <c r="G59" s="293">
        <f>I37</f>
        <v>0.6</v>
      </c>
      <c r="H59" s="293"/>
      <c r="I59" s="316">
        <f>ROUND(PRODUCT(C59:H59),2)</f>
        <v>0.27</v>
      </c>
      <c r="J59" s="293"/>
      <c r="K59" s="313"/>
      <c r="L59" s="292"/>
      <c r="M59" s="292"/>
      <c r="N59" s="293"/>
    </row>
    <row r="60" spans="1:20" ht="12.75">
      <c r="A60" s="296"/>
      <c r="B60" s="309"/>
      <c r="C60" s="309"/>
      <c r="D60" s="309"/>
      <c r="E60" s="309"/>
      <c r="F60" s="314"/>
      <c r="G60" s="314"/>
      <c r="H60" s="314"/>
      <c r="I60" s="319">
        <f>SUM(I57:I59)</f>
        <v>0.27</v>
      </c>
      <c r="J60" s="293" t="s">
        <v>580</v>
      </c>
      <c r="K60" s="313">
        <f>K23</f>
        <v>170.45499999999998</v>
      </c>
      <c r="L60" s="292">
        <v>1</v>
      </c>
      <c r="M60" s="293" t="str">
        <f>J60</f>
        <v>Sqm</v>
      </c>
      <c r="N60" s="293">
        <f>ROUND(I60*K60/L60,0)</f>
        <v>46</v>
      </c>
      <c r="P60" s="299" t="s">
        <v>592</v>
      </c>
      <c r="Q60" s="299">
        <f>0.15*I60/10</f>
        <v>4.0499999999999998E-3</v>
      </c>
      <c r="S60" s="299">
        <f>Q60*40</f>
        <v>0.16199999999999998</v>
      </c>
    </row>
    <row r="61" spans="1:20" ht="102">
      <c r="A61" s="296">
        <f>A56+1</f>
        <v>6</v>
      </c>
      <c r="B61" s="309" t="s">
        <v>600</v>
      </c>
      <c r="C61" s="314"/>
      <c r="D61" s="314"/>
      <c r="E61" s="314"/>
      <c r="F61" s="292"/>
      <c r="G61" s="293"/>
      <c r="H61" s="292"/>
      <c r="I61" s="292"/>
      <c r="J61" s="292"/>
      <c r="K61" s="320"/>
      <c r="L61" s="292"/>
      <c r="M61" s="292"/>
      <c r="N61" s="292"/>
    </row>
    <row r="62" spans="1:20" ht="12.75">
      <c r="A62" s="296"/>
      <c r="B62" s="292" t="s">
        <v>582</v>
      </c>
      <c r="C62" s="296">
        <v>1</v>
      </c>
      <c r="D62" s="296" t="s">
        <v>163</v>
      </c>
      <c r="E62" s="296">
        <v>1</v>
      </c>
      <c r="F62" s="293">
        <f>ROUND(2*(H39+I39)+I38,2)</f>
        <v>3.45</v>
      </c>
      <c r="G62" s="316">
        <f>I39</f>
        <v>0.9</v>
      </c>
      <c r="H62" s="316">
        <v>0.125</v>
      </c>
      <c r="I62" s="316">
        <f>ROUND(PRODUCT(C62:H62),3)</f>
        <v>0.38800000000000001</v>
      </c>
      <c r="J62" s="316"/>
      <c r="K62" s="320"/>
      <c r="L62" s="292"/>
      <c r="M62" s="292"/>
      <c r="N62" s="292"/>
      <c r="P62" s="299" t="s">
        <v>24</v>
      </c>
      <c r="Q62" s="299">
        <f>I64*0.9</f>
        <v>0.28710000000000002</v>
      </c>
      <c r="S62" s="299">
        <f>Q62*70</f>
        <v>20.097000000000001</v>
      </c>
      <c r="T62" s="321"/>
    </row>
    <row r="63" spans="1:20" ht="12.75">
      <c r="A63" s="296"/>
      <c r="B63" s="292" t="s">
        <v>585</v>
      </c>
      <c r="C63" s="296">
        <v>-1</v>
      </c>
      <c r="D63" s="296" t="s">
        <v>163</v>
      </c>
      <c r="E63" s="296">
        <v>1</v>
      </c>
      <c r="F63" s="293">
        <v>0.67</v>
      </c>
      <c r="G63" s="316">
        <v>0.82</v>
      </c>
      <c r="H63" s="316">
        <f>H62</f>
        <v>0.125</v>
      </c>
      <c r="I63" s="316">
        <f>ROUND(PRODUCT(C63:H63),3)</f>
        <v>-6.9000000000000006E-2</v>
      </c>
      <c r="J63" s="316"/>
      <c r="K63" s="320"/>
      <c r="L63" s="292"/>
      <c r="M63" s="292"/>
      <c r="N63" s="292"/>
      <c r="P63" s="299" t="s">
        <v>592</v>
      </c>
      <c r="Q63" s="299">
        <f>I64*0.4</f>
        <v>0.12760000000000002</v>
      </c>
      <c r="S63" s="299">
        <f>Q63*40</f>
        <v>5.104000000000001</v>
      </c>
      <c r="T63" s="321"/>
    </row>
    <row r="64" spans="1:20" ht="12.75">
      <c r="A64" s="296"/>
      <c r="B64" s="292"/>
      <c r="C64" s="292"/>
      <c r="D64" s="292"/>
      <c r="E64" s="292"/>
      <c r="F64" s="292"/>
      <c r="G64" s="293"/>
      <c r="H64" s="293"/>
      <c r="I64" s="300">
        <f>SUM(I62:I63)</f>
        <v>0.31900000000000001</v>
      </c>
      <c r="J64" s="293" t="s">
        <v>109</v>
      </c>
      <c r="K64" s="313" t="e">
        <f>K29</f>
        <v>#REF!</v>
      </c>
      <c r="L64" s="292">
        <v>1</v>
      </c>
      <c r="M64" s="293" t="str">
        <f>J64</f>
        <v>Cum</v>
      </c>
      <c r="N64" s="293" t="e">
        <f>ROUND(I64*K64/L64,0)</f>
        <v>#REF!</v>
      </c>
    </row>
    <row r="65" spans="1:21" ht="51">
      <c r="A65" s="296">
        <f>A61+1</f>
        <v>7</v>
      </c>
      <c r="B65" s="309" t="s">
        <v>601</v>
      </c>
      <c r="C65" s="309"/>
      <c r="D65" s="309"/>
      <c r="E65" s="309"/>
      <c r="F65" s="292"/>
      <c r="G65" s="293"/>
      <c r="H65" s="293"/>
      <c r="I65" s="293"/>
      <c r="J65" s="316"/>
      <c r="K65" s="323" t="s">
        <v>602</v>
      </c>
      <c r="L65" s="292"/>
      <c r="M65" s="292"/>
      <c r="N65" s="292"/>
      <c r="S65" s="324">
        <f>SUM(S47:S64)</f>
        <v>31.423000000000002</v>
      </c>
      <c r="U65" s="299" t="e">
        <f>S65*100/N67</f>
        <v>#REF!</v>
      </c>
    </row>
    <row r="66" spans="1:21" ht="12.75">
      <c r="A66" s="296"/>
      <c r="B66" s="318" t="s">
        <v>603</v>
      </c>
      <c r="C66" s="296">
        <v>1</v>
      </c>
      <c r="D66" s="296" t="s">
        <v>163</v>
      </c>
      <c r="E66" s="296">
        <v>1</v>
      </c>
      <c r="F66" s="293"/>
      <c r="G66" s="293"/>
      <c r="H66" s="293"/>
      <c r="I66" s="325">
        <f>ROUND(PRODUCT(C66:H66),2)</f>
        <v>1</v>
      </c>
      <c r="J66" s="314" t="s">
        <v>588</v>
      </c>
      <c r="K66" s="313">
        <f>K31</f>
        <v>1989</v>
      </c>
      <c r="L66" s="292">
        <v>1</v>
      </c>
      <c r="M66" s="293" t="str">
        <f>J66</f>
        <v>No</v>
      </c>
      <c r="N66" s="293">
        <f>ROUND(I66*K66/L66,0)</f>
        <v>1989</v>
      </c>
    </row>
    <row r="67" spans="1:21" ht="12.75">
      <c r="A67" s="296"/>
      <c r="B67" s="291"/>
      <c r="C67" s="291"/>
      <c r="D67" s="291"/>
      <c r="E67" s="291"/>
      <c r="F67" s="292"/>
      <c r="G67" s="292"/>
      <c r="H67" s="292"/>
      <c r="I67" s="292"/>
      <c r="J67" s="292"/>
      <c r="K67" s="1435" t="s">
        <v>590</v>
      </c>
      <c r="L67" s="1436"/>
      <c r="M67" s="292"/>
      <c r="N67" s="327" t="e">
        <f>ROUND(SUM(N45:N66),0)</f>
        <v>#REF!</v>
      </c>
    </row>
    <row r="68" spans="1:21" s="334" customFormat="1" ht="12.75">
      <c r="A68" s="328"/>
      <c r="B68" s="329"/>
      <c r="C68" s="330"/>
      <c r="D68" s="330"/>
      <c r="E68" s="330"/>
      <c r="F68" s="331"/>
      <c r="G68" s="331"/>
      <c r="H68" s="331"/>
      <c r="I68" s="331"/>
      <c r="J68" s="331"/>
      <c r="K68" s="332"/>
      <c r="L68" s="332"/>
      <c r="M68" s="331"/>
      <c r="N68" s="333"/>
    </row>
    <row r="71" spans="1:21" ht="22.5" customHeight="1">
      <c r="B71" s="299" t="s">
        <v>604</v>
      </c>
    </row>
  </sheetData>
  <mergeCells count="22">
    <mergeCell ref="I8:J8"/>
    <mergeCell ref="B36:N36"/>
    <mergeCell ref="B1:N1"/>
    <mergeCell ref="B2:G2"/>
    <mergeCell ref="B3:G3"/>
    <mergeCell ref="B4:G4"/>
    <mergeCell ref="B5:G5"/>
    <mergeCell ref="K34:L34"/>
    <mergeCell ref="B6:G6"/>
    <mergeCell ref="L8:M8"/>
    <mergeCell ref="B7:H7"/>
    <mergeCell ref="F8:H8"/>
    <mergeCell ref="I43:J43"/>
    <mergeCell ref="L43:M43"/>
    <mergeCell ref="K67:L67"/>
    <mergeCell ref="B37:G37"/>
    <mergeCell ref="B38:G38"/>
    <mergeCell ref="B39:G39"/>
    <mergeCell ref="B40:G40"/>
    <mergeCell ref="B41:G41"/>
    <mergeCell ref="B42:H42"/>
    <mergeCell ref="F43:H43"/>
  </mergeCells>
  <printOptions horizontalCentered="1"/>
  <pageMargins left="0.36" right="0.27" top="0.64" bottom="0.43" header="0.3" footer="0.18"/>
  <pageSetup paperSize="9" scale="95" orientation="landscape" verticalDpi="300" r:id="rId1"/>
  <headerFooter>
    <oddHeader>Page &amp;P of &amp;N</oddHeader>
    <oddFooter>&amp;C&amp;8&amp;A</oddFooter>
  </headerFooter>
  <rowBreaks count="2" manualBreakCount="2">
    <brk id="16" max="13" man="1"/>
    <brk id="35" max="13" man="1"/>
  </rowBreaks>
</worksheet>
</file>

<file path=xl/worksheets/sheet2.xml><?xml version="1.0" encoding="utf-8"?>
<worksheet xmlns="http://schemas.openxmlformats.org/spreadsheetml/2006/main" xmlns:r="http://schemas.openxmlformats.org/officeDocument/2006/relationships">
  <dimension ref="A1:T65"/>
  <sheetViews>
    <sheetView view="pageBreakPreview" zoomScaleSheetLayoutView="100" workbookViewId="0">
      <selection sqref="A1:M1"/>
    </sheetView>
  </sheetViews>
  <sheetFormatPr defaultRowHeight="12.75"/>
  <cols>
    <col min="1" max="1" width="5.28515625" customWidth="1"/>
    <col min="2" max="2" width="10.85546875" customWidth="1"/>
    <col min="3" max="3" width="18.85546875" customWidth="1"/>
    <col min="4" max="4" width="15.85546875" customWidth="1"/>
    <col min="5" max="5" width="11" bestFit="1" customWidth="1"/>
    <col min="6" max="7" width="11.7109375" customWidth="1"/>
    <col min="8" max="8" width="11.5703125" customWidth="1"/>
    <col min="9" max="9" width="12.140625" customWidth="1"/>
    <col min="12" max="12" width="4.42578125" customWidth="1"/>
    <col min="13" max="13" width="14.140625" customWidth="1"/>
    <col min="257" max="257" width="5.28515625" customWidth="1"/>
    <col min="258" max="258" width="10.85546875" customWidth="1"/>
    <col min="259" max="259" width="13.42578125" customWidth="1"/>
    <col min="260" max="260" width="15.85546875" customWidth="1"/>
    <col min="261" max="261" width="9.7109375" bestFit="1" customWidth="1"/>
    <col min="262" max="263" width="11.7109375" customWidth="1"/>
    <col min="264" max="264" width="11.5703125" customWidth="1"/>
    <col min="265" max="265" width="12.140625" customWidth="1"/>
    <col min="268" max="268" width="4.42578125" customWidth="1"/>
    <col min="269" max="269" width="14.140625" customWidth="1"/>
    <col min="513" max="513" width="5.28515625" customWidth="1"/>
    <col min="514" max="514" width="10.85546875" customWidth="1"/>
    <col min="515" max="515" width="13.42578125" customWidth="1"/>
    <col min="516" max="516" width="15.85546875" customWidth="1"/>
    <col min="517" max="517" width="9.7109375" bestFit="1" customWidth="1"/>
    <col min="518" max="519" width="11.7109375" customWidth="1"/>
    <col min="520" max="520" width="11.5703125" customWidth="1"/>
    <col min="521" max="521" width="12.140625" customWidth="1"/>
    <col min="524" max="524" width="4.42578125" customWidth="1"/>
    <col min="525" max="525" width="14.140625" customWidth="1"/>
    <col min="769" max="769" width="5.28515625" customWidth="1"/>
    <col min="770" max="770" width="10.85546875" customWidth="1"/>
    <col min="771" max="771" width="13.42578125" customWidth="1"/>
    <col min="772" max="772" width="15.85546875" customWidth="1"/>
    <col min="773" max="773" width="9.7109375" bestFit="1" customWidth="1"/>
    <col min="774" max="775" width="11.7109375" customWidth="1"/>
    <col min="776" max="776" width="11.5703125" customWidth="1"/>
    <col min="777" max="777" width="12.140625" customWidth="1"/>
    <col min="780" max="780" width="4.42578125" customWidth="1"/>
    <col min="781" max="781" width="14.140625" customWidth="1"/>
    <col min="1025" max="1025" width="5.28515625" customWidth="1"/>
    <col min="1026" max="1026" width="10.85546875" customWidth="1"/>
    <col min="1027" max="1027" width="13.42578125" customWidth="1"/>
    <col min="1028" max="1028" width="15.85546875" customWidth="1"/>
    <col min="1029" max="1029" width="9.7109375" bestFit="1" customWidth="1"/>
    <col min="1030" max="1031" width="11.7109375" customWidth="1"/>
    <col min="1032" max="1032" width="11.5703125" customWidth="1"/>
    <col min="1033" max="1033" width="12.140625" customWidth="1"/>
    <col min="1036" max="1036" width="4.42578125" customWidth="1"/>
    <col min="1037" max="1037" width="14.140625" customWidth="1"/>
    <col min="1281" max="1281" width="5.28515625" customWidth="1"/>
    <col min="1282" max="1282" width="10.85546875" customWidth="1"/>
    <col min="1283" max="1283" width="13.42578125" customWidth="1"/>
    <col min="1284" max="1284" width="15.85546875" customWidth="1"/>
    <col min="1285" max="1285" width="9.7109375" bestFit="1" customWidth="1"/>
    <col min="1286" max="1287" width="11.7109375" customWidth="1"/>
    <col min="1288" max="1288" width="11.5703125" customWidth="1"/>
    <col min="1289" max="1289" width="12.140625" customWidth="1"/>
    <col min="1292" max="1292" width="4.42578125" customWidth="1"/>
    <col min="1293" max="1293" width="14.140625" customWidth="1"/>
    <col min="1537" max="1537" width="5.28515625" customWidth="1"/>
    <col min="1538" max="1538" width="10.85546875" customWidth="1"/>
    <col min="1539" max="1539" width="13.42578125" customWidth="1"/>
    <col min="1540" max="1540" width="15.85546875" customWidth="1"/>
    <col min="1541" max="1541" width="9.7109375" bestFit="1" customWidth="1"/>
    <col min="1542" max="1543" width="11.7109375" customWidth="1"/>
    <col min="1544" max="1544" width="11.5703125" customWidth="1"/>
    <col min="1545" max="1545" width="12.140625" customWidth="1"/>
    <col min="1548" max="1548" width="4.42578125" customWidth="1"/>
    <col min="1549" max="1549" width="14.140625" customWidth="1"/>
    <col min="1793" max="1793" width="5.28515625" customWidth="1"/>
    <col min="1794" max="1794" width="10.85546875" customWidth="1"/>
    <col min="1795" max="1795" width="13.42578125" customWidth="1"/>
    <col min="1796" max="1796" width="15.85546875" customWidth="1"/>
    <col min="1797" max="1797" width="9.7109375" bestFit="1" customWidth="1"/>
    <col min="1798" max="1799" width="11.7109375" customWidth="1"/>
    <col min="1800" max="1800" width="11.5703125" customWidth="1"/>
    <col min="1801" max="1801" width="12.140625" customWidth="1"/>
    <col min="1804" max="1804" width="4.42578125" customWidth="1"/>
    <col min="1805" max="1805" width="14.140625" customWidth="1"/>
    <col min="2049" max="2049" width="5.28515625" customWidth="1"/>
    <col min="2050" max="2050" width="10.85546875" customWidth="1"/>
    <col min="2051" max="2051" width="13.42578125" customWidth="1"/>
    <col min="2052" max="2052" width="15.85546875" customWidth="1"/>
    <col min="2053" max="2053" width="9.7109375" bestFit="1" customWidth="1"/>
    <col min="2054" max="2055" width="11.7109375" customWidth="1"/>
    <col min="2056" max="2056" width="11.5703125" customWidth="1"/>
    <col min="2057" max="2057" width="12.140625" customWidth="1"/>
    <col min="2060" max="2060" width="4.42578125" customWidth="1"/>
    <col min="2061" max="2061" width="14.140625" customWidth="1"/>
    <col min="2305" max="2305" width="5.28515625" customWidth="1"/>
    <col min="2306" max="2306" width="10.85546875" customWidth="1"/>
    <col min="2307" max="2307" width="13.42578125" customWidth="1"/>
    <col min="2308" max="2308" width="15.85546875" customWidth="1"/>
    <col min="2309" max="2309" width="9.7109375" bestFit="1" customWidth="1"/>
    <col min="2310" max="2311" width="11.7109375" customWidth="1"/>
    <col min="2312" max="2312" width="11.5703125" customWidth="1"/>
    <col min="2313" max="2313" width="12.140625" customWidth="1"/>
    <col min="2316" max="2316" width="4.42578125" customWidth="1"/>
    <col min="2317" max="2317" width="14.140625" customWidth="1"/>
    <col min="2561" max="2561" width="5.28515625" customWidth="1"/>
    <col min="2562" max="2562" width="10.85546875" customWidth="1"/>
    <col min="2563" max="2563" width="13.42578125" customWidth="1"/>
    <col min="2564" max="2564" width="15.85546875" customWidth="1"/>
    <col min="2565" max="2565" width="9.7109375" bestFit="1" customWidth="1"/>
    <col min="2566" max="2567" width="11.7109375" customWidth="1"/>
    <col min="2568" max="2568" width="11.5703125" customWidth="1"/>
    <col min="2569" max="2569" width="12.140625" customWidth="1"/>
    <col min="2572" max="2572" width="4.42578125" customWidth="1"/>
    <col min="2573" max="2573" width="14.140625" customWidth="1"/>
    <col min="2817" max="2817" width="5.28515625" customWidth="1"/>
    <col min="2818" max="2818" width="10.85546875" customWidth="1"/>
    <col min="2819" max="2819" width="13.42578125" customWidth="1"/>
    <col min="2820" max="2820" width="15.85546875" customWidth="1"/>
    <col min="2821" max="2821" width="9.7109375" bestFit="1" customWidth="1"/>
    <col min="2822" max="2823" width="11.7109375" customWidth="1"/>
    <col min="2824" max="2824" width="11.5703125" customWidth="1"/>
    <col min="2825" max="2825" width="12.140625" customWidth="1"/>
    <col min="2828" max="2828" width="4.42578125" customWidth="1"/>
    <col min="2829" max="2829" width="14.140625" customWidth="1"/>
    <col min="3073" max="3073" width="5.28515625" customWidth="1"/>
    <col min="3074" max="3074" width="10.85546875" customWidth="1"/>
    <col min="3075" max="3075" width="13.42578125" customWidth="1"/>
    <col min="3076" max="3076" width="15.85546875" customWidth="1"/>
    <col min="3077" max="3077" width="9.7109375" bestFit="1" customWidth="1"/>
    <col min="3078" max="3079" width="11.7109375" customWidth="1"/>
    <col min="3080" max="3080" width="11.5703125" customWidth="1"/>
    <col min="3081" max="3081" width="12.140625" customWidth="1"/>
    <col min="3084" max="3084" width="4.42578125" customWidth="1"/>
    <col min="3085" max="3085" width="14.140625" customWidth="1"/>
    <col min="3329" max="3329" width="5.28515625" customWidth="1"/>
    <col min="3330" max="3330" width="10.85546875" customWidth="1"/>
    <col min="3331" max="3331" width="13.42578125" customWidth="1"/>
    <col min="3332" max="3332" width="15.85546875" customWidth="1"/>
    <col min="3333" max="3333" width="9.7109375" bestFit="1" customWidth="1"/>
    <col min="3334" max="3335" width="11.7109375" customWidth="1"/>
    <col min="3336" max="3336" width="11.5703125" customWidth="1"/>
    <col min="3337" max="3337" width="12.140625" customWidth="1"/>
    <col min="3340" max="3340" width="4.42578125" customWidth="1"/>
    <col min="3341" max="3341" width="14.140625" customWidth="1"/>
    <col min="3585" max="3585" width="5.28515625" customWidth="1"/>
    <col min="3586" max="3586" width="10.85546875" customWidth="1"/>
    <col min="3587" max="3587" width="13.42578125" customWidth="1"/>
    <col min="3588" max="3588" width="15.85546875" customWidth="1"/>
    <col min="3589" max="3589" width="9.7109375" bestFit="1" customWidth="1"/>
    <col min="3590" max="3591" width="11.7109375" customWidth="1"/>
    <col min="3592" max="3592" width="11.5703125" customWidth="1"/>
    <col min="3593" max="3593" width="12.140625" customWidth="1"/>
    <col min="3596" max="3596" width="4.42578125" customWidth="1"/>
    <col min="3597" max="3597" width="14.140625" customWidth="1"/>
    <col min="3841" max="3841" width="5.28515625" customWidth="1"/>
    <col min="3842" max="3842" width="10.85546875" customWidth="1"/>
    <col min="3843" max="3843" width="13.42578125" customWidth="1"/>
    <col min="3844" max="3844" width="15.85546875" customWidth="1"/>
    <col min="3845" max="3845" width="9.7109375" bestFit="1" customWidth="1"/>
    <col min="3846" max="3847" width="11.7109375" customWidth="1"/>
    <col min="3848" max="3848" width="11.5703125" customWidth="1"/>
    <col min="3849" max="3849" width="12.140625" customWidth="1"/>
    <col min="3852" max="3852" width="4.42578125" customWidth="1"/>
    <col min="3853" max="3853" width="14.140625" customWidth="1"/>
    <col min="4097" max="4097" width="5.28515625" customWidth="1"/>
    <col min="4098" max="4098" width="10.85546875" customWidth="1"/>
    <col min="4099" max="4099" width="13.42578125" customWidth="1"/>
    <col min="4100" max="4100" width="15.85546875" customWidth="1"/>
    <col min="4101" max="4101" width="9.7109375" bestFit="1" customWidth="1"/>
    <col min="4102" max="4103" width="11.7109375" customWidth="1"/>
    <col min="4104" max="4104" width="11.5703125" customWidth="1"/>
    <col min="4105" max="4105" width="12.140625" customWidth="1"/>
    <col min="4108" max="4108" width="4.42578125" customWidth="1"/>
    <col min="4109" max="4109" width="14.140625" customWidth="1"/>
    <col min="4353" max="4353" width="5.28515625" customWidth="1"/>
    <col min="4354" max="4354" width="10.85546875" customWidth="1"/>
    <col min="4355" max="4355" width="13.42578125" customWidth="1"/>
    <col min="4356" max="4356" width="15.85546875" customWidth="1"/>
    <col min="4357" max="4357" width="9.7109375" bestFit="1" customWidth="1"/>
    <col min="4358" max="4359" width="11.7109375" customWidth="1"/>
    <col min="4360" max="4360" width="11.5703125" customWidth="1"/>
    <col min="4361" max="4361" width="12.140625" customWidth="1"/>
    <col min="4364" max="4364" width="4.42578125" customWidth="1"/>
    <col min="4365" max="4365" width="14.140625" customWidth="1"/>
    <col min="4609" max="4609" width="5.28515625" customWidth="1"/>
    <col min="4610" max="4610" width="10.85546875" customWidth="1"/>
    <col min="4611" max="4611" width="13.42578125" customWidth="1"/>
    <col min="4612" max="4612" width="15.85546875" customWidth="1"/>
    <col min="4613" max="4613" width="9.7109375" bestFit="1" customWidth="1"/>
    <col min="4614" max="4615" width="11.7109375" customWidth="1"/>
    <col min="4616" max="4616" width="11.5703125" customWidth="1"/>
    <col min="4617" max="4617" width="12.140625" customWidth="1"/>
    <col min="4620" max="4620" width="4.42578125" customWidth="1"/>
    <col min="4621" max="4621" width="14.140625" customWidth="1"/>
    <col min="4865" max="4865" width="5.28515625" customWidth="1"/>
    <col min="4866" max="4866" width="10.85546875" customWidth="1"/>
    <col min="4867" max="4867" width="13.42578125" customWidth="1"/>
    <col min="4868" max="4868" width="15.85546875" customWidth="1"/>
    <col min="4869" max="4869" width="9.7109375" bestFit="1" customWidth="1"/>
    <col min="4870" max="4871" width="11.7109375" customWidth="1"/>
    <col min="4872" max="4872" width="11.5703125" customWidth="1"/>
    <col min="4873" max="4873" width="12.140625" customWidth="1"/>
    <col min="4876" max="4876" width="4.42578125" customWidth="1"/>
    <col min="4877" max="4877" width="14.140625" customWidth="1"/>
    <col min="5121" max="5121" width="5.28515625" customWidth="1"/>
    <col min="5122" max="5122" width="10.85546875" customWidth="1"/>
    <col min="5123" max="5123" width="13.42578125" customWidth="1"/>
    <col min="5124" max="5124" width="15.85546875" customWidth="1"/>
    <col min="5125" max="5125" width="9.7109375" bestFit="1" customWidth="1"/>
    <col min="5126" max="5127" width="11.7109375" customWidth="1"/>
    <col min="5128" max="5128" width="11.5703125" customWidth="1"/>
    <col min="5129" max="5129" width="12.140625" customWidth="1"/>
    <col min="5132" max="5132" width="4.42578125" customWidth="1"/>
    <col min="5133" max="5133" width="14.140625" customWidth="1"/>
    <col min="5377" max="5377" width="5.28515625" customWidth="1"/>
    <col min="5378" max="5378" width="10.85546875" customWidth="1"/>
    <col min="5379" max="5379" width="13.42578125" customWidth="1"/>
    <col min="5380" max="5380" width="15.85546875" customWidth="1"/>
    <col min="5381" max="5381" width="9.7109375" bestFit="1" customWidth="1"/>
    <col min="5382" max="5383" width="11.7109375" customWidth="1"/>
    <col min="5384" max="5384" width="11.5703125" customWidth="1"/>
    <col min="5385" max="5385" width="12.140625" customWidth="1"/>
    <col min="5388" max="5388" width="4.42578125" customWidth="1"/>
    <col min="5389" max="5389" width="14.140625" customWidth="1"/>
    <col min="5633" max="5633" width="5.28515625" customWidth="1"/>
    <col min="5634" max="5634" width="10.85546875" customWidth="1"/>
    <col min="5635" max="5635" width="13.42578125" customWidth="1"/>
    <col min="5636" max="5636" width="15.85546875" customWidth="1"/>
    <col min="5637" max="5637" width="9.7109375" bestFit="1" customWidth="1"/>
    <col min="5638" max="5639" width="11.7109375" customWidth="1"/>
    <col min="5640" max="5640" width="11.5703125" customWidth="1"/>
    <col min="5641" max="5641" width="12.140625" customWidth="1"/>
    <col min="5644" max="5644" width="4.42578125" customWidth="1"/>
    <col min="5645" max="5645" width="14.140625" customWidth="1"/>
    <col min="5889" max="5889" width="5.28515625" customWidth="1"/>
    <col min="5890" max="5890" width="10.85546875" customWidth="1"/>
    <col min="5891" max="5891" width="13.42578125" customWidth="1"/>
    <col min="5892" max="5892" width="15.85546875" customWidth="1"/>
    <col min="5893" max="5893" width="9.7109375" bestFit="1" customWidth="1"/>
    <col min="5894" max="5895" width="11.7109375" customWidth="1"/>
    <col min="5896" max="5896" width="11.5703125" customWidth="1"/>
    <col min="5897" max="5897" width="12.140625" customWidth="1"/>
    <col min="5900" max="5900" width="4.42578125" customWidth="1"/>
    <col min="5901" max="5901" width="14.140625" customWidth="1"/>
    <col min="6145" max="6145" width="5.28515625" customWidth="1"/>
    <col min="6146" max="6146" width="10.85546875" customWidth="1"/>
    <col min="6147" max="6147" width="13.42578125" customWidth="1"/>
    <col min="6148" max="6148" width="15.85546875" customWidth="1"/>
    <col min="6149" max="6149" width="9.7109375" bestFit="1" customWidth="1"/>
    <col min="6150" max="6151" width="11.7109375" customWidth="1"/>
    <col min="6152" max="6152" width="11.5703125" customWidth="1"/>
    <col min="6153" max="6153" width="12.140625" customWidth="1"/>
    <col min="6156" max="6156" width="4.42578125" customWidth="1"/>
    <col min="6157" max="6157" width="14.140625" customWidth="1"/>
    <col min="6401" max="6401" width="5.28515625" customWidth="1"/>
    <col min="6402" max="6402" width="10.85546875" customWidth="1"/>
    <col min="6403" max="6403" width="13.42578125" customWidth="1"/>
    <col min="6404" max="6404" width="15.85546875" customWidth="1"/>
    <col min="6405" max="6405" width="9.7109375" bestFit="1" customWidth="1"/>
    <col min="6406" max="6407" width="11.7109375" customWidth="1"/>
    <col min="6408" max="6408" width="11.5703125" customWidth="1"/>
    <col min="6409" max="6409" width="12.140625" customWidth="1"/>
    <col min="6412" max="6412" width="4.42578125" customWidth="1"/>
    <col min="6413" max="6413" width="14.140625" customWidth="1"/>
    <col min="6657" max="6657" width="5.28515625" customWidth="1"/>
    <col min="6658" max="6658" width="10.85546875" customWidth="1"/>
    <col min="6659" max="6659" width="13.42578125" customWidth="1"/>
    <col min="6660" max="6660" width="15.85546875" customWidth="1"/>
    <col min="6661" max="6661" width="9.7109375" bestFit="1" customWidth="1"/>
    <col min="6662" max="6663" width="11.7109375" customWidth="1"/>
    <col min="6664" max="6664" width="11.5703125" customWidth="1"/>
    <col min="6665" max="6665" width="12.140625" customWidth="1"/>
    <col min="6668" max="6668" width="4.42578125" customWidth="1"/>
    <col min="6669" max="6669" width="14.140625" customWidth="1"/>
    <col min="6913" max="6913" width="5.28515625" customWidth="1"/>
    <col min="6914" max="6914" width="10.85546875" customWidth="1"/>
    <col min="6915" max="6915" width="13.42578125" customWidth="1"/>
    <col min="6916" max="6916" width="15.85546875" customWidth="1"/>
    <col min="6917" max="6917" width="9.7109375" bestFit="1" customWidth="1"/>
    <col min="6918" max="6919" width="11.7109375" customWidth="1"/>
    <col min="6920" max="6920" width="11.5703125" customWidth="1"/>
    <col min="6921" max="6921" width="12.140625" customWidth="1"/>
    <col min="6924" max="6924" width="4.42578125" customWidth="1"/>
    <col min="6925" max="6925" width="14.140625" customWidth="1"/>
    <col min="7169" max="7169" width="5.28515625" customWidth="1"/>
    <col min="7170" max="7170" width="10.85546875" customWidth="1"/>
    <col min="7171" max="7171" width="13.42578125" customWidth="1"/>
    <col min="7172" max="7172" width="15.85546875" customWidth="1"/>
    <col min="7173" max="7173" width="9.7109375" bestFit="1" customWidth="1"/>
    <col min="7174" max="7175" width="11.7109375" customWidth="1"/>
    <col min="7176" max="7176" width="11.5703125" customWidth="1"/>
    <col min="7177" max="7177" width="12.140625" customWidth="1"/>
    <col min="7180" max="7180" width="4.42578125" customWidth="1"/>
    <col min="7181" max="7181" width="14.140625" customWidth="1"/>
    <col min="7425" max="7425" width="5.28515625" customWidth="1"/>
    <col min="7426" max="7426" width="10.85546875" customWidth="1"/>
    <col min="7427" max="7427" width="13.42578125" customWidth="1"/>
    <col min="7428" max="7428" width="15.85546875" customWidth="1"/>
    <col min="7429" max="7429" width="9.7109375" bestFit="1" customWidth="1"/>
    <col min="7430" max="7431" width="11.7109375" customWidth="1"/>
    <col min="7432" max="7432" width="11.5703125" customWidth="1"/>
    <col min="7433" max="7433" width="12.140625" customWidth="1"/>
    <col min="7436" max="7436" width="4.42578125" customWidth="1"/>
    <col min="7437" max="7437" width="14.140625" customWidth="1"/>
    <col min="7681" max="7681" width="5.28515625" customWidth="1"/>
    <col min="7682" max="7682" width="10.85546875" customWidth="1"/>
    <col min="7683" max="7683" width="13.42578125" customWidth="1"/>
    <col min="7684" max="7684" width="15.85546875" customWidth="1"/>
    <col min="7685" max="7685" width="9.7109375" bestFit="1" customWidth="1"/>
    <col min="7686" max="7687" width="11.7109375" customWidth="1"/>
    <col min="7688" max="7688" width="11.5703125" customWidth="1"/>
    <col min="7689" max="7689" width="12.140625" customWidth="1"/>
    <col min="7692" max="7692" width="4.42578125" customWidth="1"/>
    <col min="7693" max="7693" width="14.140625" customWidth="1"/>
    <col min="7937" max="7937" width="5.28515625" customWidth="1"/>
    <col min="7938" max="7938" width="10.85546875" customWidth="1"/>
    <col min="7939" max="7939" width="13.42578125" customWidth="1"/>
    <col min="7940" max="7940" width="15.85546875" customWidth="1"/>
    <col min="7941" max="7941" width="9.7109375" bestFit="1" customWidth="1"/>
    <col min="7942" max="7943" width="11.7109375" customWidth="1"/>
    <col min="7944" max="7944" width="11.5703125" customWidth="1"/>
    <col min="7945" max="7945" width="12.140625" customWidth="1"/>
    <col min="7948" max="7948" width="4.42578125" customWidth="1"/>
    <col min="7949" max="7949" width="14.140625" customWidth="1"/>
    <col min="8193" max="8193" width="5.28515625" customWidth="1"/>
    <col min="8194" max="8194" width="10.85546875" customWidth="1"/>
    <col min="8195" max="8195" width="13.42578125" customWidth="1"/>
    <col min="8196" max="8196" width="15.85546875" customWidth="1"/>
    <col min="8197" max="8197" width="9.7109375" bestFit="1" customWidth="1"/>
    <col min="8198" max="8199" width="11.7109375" customWidth="1"/>
    <col min="8200" max="8200" width="11.5703125" customWidth="1"/>
    <col min="8201" max="8201" width="12.140625" customWidth="1"/>
    <col min="8204" max="8204" width="4.42578125" customWidth="1"/>
    <col min="8205" max="8205" width="14.140625" customWidth="1"/>
    <col min="8449" max="8449" width="5.28515625" customWidth="1"/>
    <col min="8450" max="8450" width="10.85546875" customWidth="1"/>
    <col min="8451" max="8451" width="13.42578125" customWidth="1"/>
    <col min="8452" max="8452" width="15.85546875" customWidth="1"/>
    <col min="8453" max="8453" width="9.7109375" bestFit="1" customWidth="1"/>
    <col min="8454" max="8455" width="11.7109375" customWidth="1"/>
    <col min="8456" max="8456" width="11.5703125" customWidth="1"/>
    <col min="8457" max="8457" width="12.140625" customWidth="1"/>
    <col min="8460" max="8460" width="4.42578125" customWidth="1"/>
    <col min="8461" max="8461" width="14.140625" customWidth="1"/>
    <col min="8705" max="8705" width="5.28515625" customWidth="1"/>
    <col min="8706" max="8706" width="10.85546875" customWidth="1"/>
    <col min="8707" max="8707" width="13.42578125" customWidth="1"/>
    <col min="8708" max="8708" width="15.85546875" customWidth="1"/>
    <col min="8709" max="8709" width="9.7109375" bestFit="1" customWidth="1"/>
    <col min="8710" max="8711" width="11.7109375" customWidth="1"/>
    <col min="8712" max="8712" width="11.5703125" customWidth="1"/>
    <col min="8713" max="8713" width="12.140625" customWidth="1"/>
    <col min="8716" max="8716" width="4.42578125" customWidth="1"/>
    <col min="8717" max="8717" width="14.140625" customWidth="1"/>
    <col min="8961" max="8961" width="5.28515625" customWidth="1"/>
    <col min="8962" max="8962" width="10.85546875" customWidth="1"/>
    <col min="8963" max="8963" width="13.42578125" customWidth="1"/>
    <col min="8964" max="8964" width="15.85546875" customWidth="1"/>
    <col min="8965" max="8965" width="9.7109375" bestFit="1" customWidth="1"/>
    <col min="8966" max="8967" width="11.7109375" customWidth="1"/>
    <col min="8968" max="8968" width="11.5703125" customWidth="1"/>
    <col min="8969" max="8969" width="12.140625" customWidth="1"/>
    <col min="8972" max="8972" width="4.42578125" customWidth="1"/>
    <col min="8973" max="8973" width="14.140625" customWidth="1"/>
    <col min="9217" max="9217" width="5.28515625" customWidth="1"/>
    <col min="9218" max="9218" width="10.85546875" customWidth="1"/>
    <col min="9219" max="9219" width="13.42578125" customWidth="1"/>
    <col min="9220" max="9220" width="15.85546875" customWidth="1"/>
    <col min="9221" max="9221" width="9.7109375" bestFit="1" customWidth="1"/>
    <col min="9222" max="9223" width="11.7109375" customWidth="1"/>
    <col min="9224" max="9224" width="11.5703125" customWidth="1"/>
    <col min="9225" max="9225" width="12.140625" customWidth="1"/>
    <col min="9228" max="9228" width="4.42578125" customWidth="1"/>
    <col min="9229" max="9229" width="14.140625" customWidth="1"/>
    <col min="9473" max="9473" width="5.28515625" customWidth="1"/>
    <col min="9474" max="9474" width="10.85546875" customWidth="1"/>
    <col min="9475" max="9475" width="13.42578125" customWidth="1"/>
    <col min="9476" max="9476" width="15.85546875" customWidth="1"/>
    <col min="9477" max="9477" width="9.7109375" bestFit="1" customWidth="1"/>
    <col min="9478" max="9479" width="11.7109375" customWidth="1"/>
    <col min="9480" max="9480" width="11.5703125" customWidth="1"/>
    <col min="9481" max="9481" width="12.140625" customWidth="1"/>
    <col min="9484" max="9484" width="4.42578125" customWidth="1"/>
    <col min="9485" max="9485" width="14.140625" customWidth="1"/>
    <col min="9729" max="9729" width="5.28515625" customWidth="1"/>
    <col min="9730" max="9730" width="10.85546875" customWidth="1"/>
    <col min="9731" max="9731" width="13.42578125" customWidth="1"/>
    <col min="9732" max="9732" width="15.85546875" customWidth="1"/>
    <col min="9733" max="9733" width="9.7109375" bestFit="1" customWidth="1"/>
    <col min="9734" max="9735" width="11.7109375" customWidth="1"/>
    <col min="9736" max="9736" width="11.5703125" customWidth="1"/>
    <col min="9737" max="9737" width="12.140625" customWidth="1"/>
    <col min="9740" max="9740" width="4.42578125" customWidth="1"/>
    <col min="9741" max="9741" width="14.140625" customWidth="1"/>
    <col min="9985" max="9985" width="5.28515625" customWidth="1"/>
    <col min="9986" max="9986" width="10.85546875" customWidth="1"/>
    <col min="9987" max="9987" width="13.42578125" customWidth="1"/>
    <col min="9988" max="9988" width="15.85546875" customWidth="1"/>
    <col min="9989" max="9989" width="9.7109375" bestFit="1" customWidth="1"/>
    <col min="9990" max="9991" width="11.7109375" customWidth="1"/>
    <col min="9992" max="9992" width="11.5703125" customWidth="1"/>
    <col min="9993" max="9993" width="12.140625" customWidth="1"/>
    <col min="9996" max="9996" width="4.42578125" customWidth="1"/>
    <col min="9997" max="9997" width="14.140625" customWidth="1"/>
    <col min="10241" max="10241" width="5.28515625" customWidth="1"/>
    <col min="10242" max="10242" width="10.85546875" customWidth="1"/>
    <col min="10243" max="10243" width="13.42578125" customWidth="1"/>
    <col min="10244" max="10244" width="15.85546875" customWidth="1"/>
    <col min="10245" max="10245" width="9.7109375" bestFit="1" customWidth="1"/>
    <col min="10246" max="10247" width="11.7109375" customWidth="1"/>
    <col min="10248" max="10248" width="11.5703125" customWidth="1"/>
    <col min="10249" max="10249" width="12.140625" customWidth="1"/>
    <col min="10252" max="10252" width="4.42578125" customWidth="1"/>
    <col min="10253" max="10253" width="14.140625" customWidth="1"/>
    <col min="10497" max="10497" width="5.28515625" customWidth="1"/>
    <col min="10498" max="10498" width="10.85546875" customWidth="1"/>
    <col min="10499" max="10499" width="13.42578125" customWidth="1"/>
    <col min="10500" max="10500" width="15.85546875" customWidth="1"/>
    <col min="10501" max="10501" width="9.7109375" bestFit="1" customWidth="1"/>
    <col min="10502" max="10503" width="11.7109375" customWidth="1"/>
    <col min="10504" max="10504" width="11.5703125" customWidth="1"/>
    <col min="10505" max="10505" width="12.140625" customWidth="1"/>
    <col min="10508" max="10508" width="4.42578125" customWidth="1"/>
    <col min="10509" max="10509" width="14.140625" customWidth="1"/>
    <col min="10753" max="10753" width="5.28515625" customWidth="1"/>
    <col min="10754" max="10754" width="10.85546875" customWidth="1"/>
    <col min="10755" max="10755" width="13.42578125" customWidth="1"/>
    <col min="10756" max="10756" width="15.85546875" customWidth="1"/>
    <col min="10757" max="10757" width="9.7109375" bestFit="1" customWidth="1"/>
    <col min="10758" max="10759" width="11.7109375" customWidth="1"/>
    <col min="10760" max="10760" width="11.5703125" customWidth="1"/>
    <col min="10761" max="10761" width="12.140625" customWidth="1"/>
    <col min="10764" max="10764" width="4.42578125" customWidth="1"/>
    <col min="10765" max="10765" width="14.140625" customWidth="1"/>
    <col min="11009" max="11009" width="5.28515625" customWidth="1"/>
    <col min="11010" max="11010" width="10.85546875" customWidth="1"/>
    <col min="11011" max="11011" width="13.42578125" customWidth="1"/>
    <col min="11012" max="11012" width="15.85546875" customWidth="1"/>
    <col min="11013" max="11013" width="9.7109375" bestFit="1" customWidth="1"/>
    <col min="11014" max="11015" width="11.7109375" customWidth="1"/>
    <col min="11016" max="11016" width="11.5703125" customWidth="1"/>
    <col min="11017" max="11017" width="12.140625" customWidth="1"/>
    <col min="11020" max="11020" width="4.42578125" customWidth="1"/>
    <col min="11021" max="11021" width="14.140625" customWidth="1"/>
    <col min="11265" max="11265" width="5.28515625" customWidth="1"/>
    <col min="11266" max="11266" width="10.85546875" customWidth="1"/>
    <col min="11267" max="11267" width="13.42578125" customWidth="1"/>
    <col min="11268" max="11268" width="15.85546875" customWidth="1"/>
    <col min="11269" max="11269" width="9.7109375" bestFit="1" customWidth="1"/>
    <col min="11270" max="11271" width="11.7109375" customWidth="1"/>
    <col min="11272" max="11272" width="11.5703125" customWidth="1"/>
    <col min="11273" max="11273" width="12.140625" customWidth="1"/>
    <col min="11276" max="11276" width="4.42578125" customWidth="1"/>
    <col min="11277" max="11277" width="14.140625" customWidth="1"/>
    <col min="11521" max="11521" width="5.28515625" customWidth="1"/>
    <col min="11522" max="11522" width="10.85546875" customWidth="1"/>
    <col min="11523" max="11523" width="13.42578125" customWidth="1"/>
    <col min="11524" max="11524" width="15.85546875" customWidth="1"/>
    <col min="11525" max="11525" width="9.7109375" bestFit="1" customWidth="1"/>
    <col min="11526" max="11527" width="11.7109375" customWidth="1"/>
    <col min="11528" max="11528" width="11.5703125" customWidth="1"/>
    <col min="11529" max="11529" width="12.140625" customWidth="1"/>
    <col min="11532" max="11532" width="4.42578125" customWidth="1"/>
    <col min="11533" max="11533" width="14.140625" customWidth="1"/>
    <col min="11777" max="11777" width="5.28515625" customWidth="1"/>
    <col min="11778" max="11778" width="10.85546875" customWidth="1"/>
    <col min="11779" max="11779" width="13.42578125" customWidth="1"/>
    <col min="11780" max="11780" width="15.85546875" customWidth="1"/>
    <col min="11781" max="11781" width="9.7109375" bestFit="1" customWidth="1"/>
    <col min="11782" max="11783" width="11.7109375" customWidth="1"/>
    <col min="11784" max="11784" width="11.5703125" customWidth="1"/>
    <col min="11785" max="11785" width="12.140625" customWidth="1"/>
    <col min="11788" max="11788" width="4.42578125" customWidth="1"/>
    <col min="11789" max="11789" width="14.140625" customWidth="1"/>
    <col min="12033" max="12033" width="5.28515625" customWidth="1"/>
    <col min="12034" max="12034" width="10.85546875" customWidth="1"/>
    <col min="12035" max="12035" width="13.42578125" customWidth="1"/>
    <col min="12036" max="12036" width="15.85546875" customWidth="1"/>
    <col min="12037" max="12037" width="9.7109375" bestFit="1" customWidth="1"/>
    <col min="12038" max="12039" width="11.7109375" customWidth="1"/>
    <col min="12040" max="12040" width="11.5703125" customWidth="1"/>
    <col min="12041" max="12041" width="12.140625" customWidth="1"/>
    <col min="12044" max="12044" width="4.42578125" customWidth="1"/>
    <col min="12045" max="12045" width="14.140625" customWidth="1"/>
    <col min="12289" max="12289" width="5.28515625" customWidth="1"/>
    <col min="12290" max="12290" width="10.85546875" customWidth="1"/>
    <col min="12291" max="12291" width="13.42578125" customWidth="1"/>
    <col min="12292" max="12292" width="15.85546875" customWidth="1"/>
    <col min="12293" max="12293" width="9.7109375" bestFit="1" customWidth="1"/>
    <col min="12294" max="12295" width="11.7109375" customWidth="1"/>
    <col min="12296" max="12296" width="11.5703125" customWidth="1"/>
    <col min="12297" max="12297" width="12.140625" customWidth="1"/>
    <col min="12300" max="12300" width="4.42578125" customWidth="1"/>
    <col min="12301" max="12301" width="14.140625" customWidth="1"/>
    <col min="12545" max="12545" width="5.28515625" customWidth="1"/>
    <col min="12546" max="12546" width="10.85546875" customWidth="1"/>
    <col min="12547" max="12547" width="13.42578125" customWidth="1"/>
    <col min="12548" max="12548" width="15.85546875" customWidth="1"/>
    <col min="12549" max="12549" width="9.7109375" bestFit="1" customWidth="1"/>
    <col min="12550" max="12551" width="11.7109375" customWidth="1"/>
    <col min="12552" max="12552" width="11.5703125" customWidth="1"/>
    <col min="12553" max="12553" width="12.140625" customWidth="1"/>
    <col min="12556" max="12556" width="4.42578125" customWidth="1"/>
    <col min="12557" max="12557" width="14.140625" customWidth="1"/>
    <col min="12801" max="12801" width="5.28515625" customWidth="1"/>
    <col min="12802" max="12802" width="10.85546875" customWidth="1"/>
    <col min="12803" max="12803" width="13.42578125" customWidth="1"/>
    <col min="12804" max="12804" width="15.85546875" customWidth="1"/>
    <col min="12805" max="12805" width="9.7109375" bestFit="1" customWidth="1"/>
    <col min="12806" max="12807" width="11.7109375" customWidth="1"/>
    <col min="12808" max="12808" width="11.5703125" customWidth="1"/>
    <col min="12809" max="12809" width="12.140625" customWidth="1"/>
    <col min="12812" max="12812" width="4.42578125" customWidth="1"/>
    <col min="12813" max="12813" width="14.140625" customWidth="1"/>
    <col min="13057" max="13057" width="5.28515625" customWidth="1"/>
    <col min="13058" max="13058" width="10.85546875" customWidth="1"/>
    <col min="13059" max="13059" width="13.42578125" customWidth="1"/>
    <col min="13060" max="13060" width="15.85546875" customWidth="1"/>
    <col min="13061" max="13061" width="9.7109375" bestFit="1" customWidth="1"/>
    <col min="13062" max="13063" width="11.7109375" customWidth="1"/>
    <col min="13064" max="13064" width="11.5703125" customWidth="1"/>
    <col min="13065" max="13065" width="12.140625" customWidth="1"/>
    <col min="13068" max="13068" width="4.42578125" customWidth="1"/>
    <col min="13069" max="13069" width="14.140625" customWidth="1"/>
    <col min="13313" max="13313" width="5.28515625" customWidth="1"/>
    <col min="13314" max="13314" width="10.85546875" customWidth="1"/>
    <col min="13315" max="13315" width="13.42578125" customWidth="1"/>
    <col min="13316" max="13316" width="15.85546875" customWidth="1"/>
    <col min="13317" max="13317" width="9.7109375" bestFit="1" customWidth="1"/>
    <col min="13318" max="13319" width="11.7109375" customWidth="1"/>
    <col min="13320" max="13320" width="11.5703125" customWidth="1"/>
    <col min="13321" max="13321" width="12.140625" customWidth="1"/>
    <col min="13324" max="13324" width="4.42578125" customWidth="1"/>
    <col min="13325" max="13325" width="14.140625" customWidth="1"/>
    <col min="13569" max="13569" width="5.28515625" customWidth="1"/>
    <col min="13570" max="13570" width="10.85546875" customWidth="1"/>
    <col min="13571" max="13571" width="13.42578125" customWidth="1"/>
    <col min="13572" max="13572" width="15.85546875" customWidth="1"/>
    <col min="13573" max="13573" width="9.7109375" bestFit="1" customWidth="1"/>
    <col min="13574" max="13575" width="11.7109375" customWidth="1"/>
    <col min="13576" max="13576" width="11.5703125" customWidth="1"/>
    <col min="13577" max="13577" width="12.140625" customWidth="1"/>
    <col min="13580" max="13580" width="4.42578125" customWidth="1"/>
    <col min="13581" max="13581" width="14.140625" customWidth="1"/>
    <col min="13825" max="13825" width="5.28515625" customWidth="1"/>
    <col min="13826" max="13826" width="10.85546875" customWidth="1"/>
    <col min="13827" max="13827" width="13.42578125" customWidth="1"/>
    <col min="13828" max="13828" width="15.85546875" customWidth="1"/>
    <col min="13829" max="13829" width="9.7109375" bestFit="1" customWidth="1"/>
    <col min="13830" max="13831" width="11.7109375" customWidth="1"/>
    <col min="13832" max="13832" width="11.5703125" customWidth="1"/>
    <col min="13833" max="13833" width="12.140625" customWidth="1"/>
    <col min="13836" max="13836" width="4.42578125" customWidth="1"/>
    <col min="13837" max="13837" width="14.140625" customWidth="1"/>
    <col min="14081" max="14081" width="5.28515625" customWidth="1"/>
    <col min="14082" max="14082" width="10.85546875" customWidth="1"/>
    <col min="14083" max="14083" width="13.42578125" customWidth="1"/>
    <col min="14084" max="14084" width="15.85546875" customWidth="1"/>
    <col min="14085" max="14085" width="9.7109375" bestFit="1" customWidth="1"/>
    <col min="14086" max="14087" width="11.7109375" customWidth="1"/>
    <col min="14088" max="14088" width="11.5703125" customWidth="1"/>
    <col min="14089" max="14089" width="12.140625" customWidth="1"/>
    <col min="14092" max="14092" width="4.42578125" customWidth="1"/>
    <col min="14093" max="14093" width="14.140625" customWidth="1"/>
    <col min="14337" max="14337" width="5.28515625" customWidth="1"/>
    <col min="14338" max="14338" width="10.85546875" customWidth="1"/>
    <col min="14339" max="14339" width="13.42578125" customWidth="1"/>
    <col min="14340" max="14340" width="15.85546875" customWidth="1"/>
    <col min="14341" max="14341" width="9.7109375" bestFit="1" customWidth="1"/>
    <col min="14342" max="14343" width="11.7109375" customWidth="1"/>
    <col min="14344" max="14344" width="11.5703125" customWidth="1"/>
    <col min="14345" max="14345" width="12.140625" customWidth="1"/>
    <col min="14348" max="14348" width="4.42578125" customWidth="1"/>
    <col min="14349" max="14349" width="14.140625" customWidth="1"/>
    <col min="14593" max="14593" width="5.28515625" customWidth="1"/>
    <col min="14594" max="14594" width="10.85546875" customWidth="1"/>
    <col min="14595" max="14595" width="13.42578125" customWidth="1"/>
    <col min="14596" max="14596" width="15.85546875" customWidth="1"/>
    <col min="14597" max="14597" width="9.7109375" bestFit="1" customWidth="1"/>
    <col min="14598" max="14599" width="11.7109375" customWidth="1"/>
    <col min="14600" max="14600" width="11.5703125" customWidth="1"/>
    <col min="14601" max="14601" width="12.140625" customWidth="1"/>
    <col min="14604" max="14604" width="4.42578125" customWidth="1"/>
    <col min="14605" max="14605" width="14.140625" customWidth="1"/>
    <col min="14849" max="14849" width="5.28515625" customWidth="1"/>
    <col min="14850" max="14850" width="10.85546875" customWidth="1"/>
    <col min="14851" max="14851" width="13.42578125" customWidth="1"/>
    <col min="14852" max="14852" width="15.85546875" customWidth="1"/>
    <col min="14853" max="14853" width="9.7109375" bestFit="1" customWidth="1"/>
    <col min="14854" max="14855" width="11.7109375" customWidth="1"/>
    <col min="14856" max="14856" width="11.5703125" customWidth="1"/>
    <col min="14857" max="14857" width="12.140625" customWidth="1"/>
    <col min="14860" max="14860" width="4.42578125" customWidth="1"/>
    <col min="14861" max="14861" width="14.140625" customWidth="1"/>
    <col min="15105" max="15105" width="5.28515625" customWidth="1"/>
    <col min="15106" max="15106" width="10.85546875" customWidth="1"/>
    <col min="15107" max="15107" width="13.42578125" customWidth="1"/>
    <col min="15108" max="15108" width="15.85546875" customWidth="1"/>
    <col min="15109" max="15109" width="9.7109375" bestFit="1" customWidth="1"/>
    <col min="15110" max="15111" width="11.7109375" customWidth="1"/>
    <col min="15112" max="15112" width="11.5703125" customWidth="1"/>
    <col min="15113" max="15113" width="12.140625" customWidth="1"/>
    <col min="15116" max="15116" width="4.42578125" customWidth="1"/>
    <col min="15117" max="15117" width="14.140625" customWidth="1"/>
    <col min="15361" max="15361" width="5.28515625" customWidth="1"/>
    <col min="15362" max="15362" width="10.85546875" customWidth="1"/>
    <col min="15363" max="15363" width="13.42578125" customWidth="1"/>
    <col min="15364" max="15364" width="15.85546875" customWidth="1"/>
    <col min="15365" max="15365" width="9.7109375" bestFit="1" customWidth="1"/>
    <col min="15366" max="15367" width="11.7109375" customWidth="1"/>
    <col min="15368" max="15368" width="11.5703125" customWidth="1"/>
    <col min="15369" max="15369" width="12.140625" customWidth="1"/>
    <col min="15372" max="15372" width="4.42578125" customWidth="1"/>
    <col min="15373" max="15373" width="14.140625" customWidth="1"/>
    <col min="15617" max="15617" width="5.28515625" customWidth="1"/>
    <col min="15618" max="15618" width="10.85546875" customWidth="1"/>
    <col min="15619" max="15619" width="13.42578125" customWidth="1"/>
    <col min="15620" max="15620" width="15.85546875" customWidth="1"/>
    <col min="15621" max="15621" width="9.7109375" bestFit="1" customWidth="1"/>
    <col min="15622" max="15623" width="11.7109375" customWidth="1"/>
    <col min="15624" max="15624" width="11.5703125" customWidth="1"/>
    <col min="15625" max="15625" width="12.140625" customWidth="1"/>
    <col min="15628" max="15628" width="4.42578125" customWidth="1"/>
    <col min="15629" max="15629" width="14.140625" customWidth="1"/>
    <col min="15873" max="15873" width="5.28515625" customWidth="1"/>
    <col min="15874" max="15874" width="10.85546875" customWidth="1"/>
    <col min="15875" max="15875" width="13.42578125" customWidth="1"/>
    <col min="15876" max="15876" width="15.85546875" customWidth="1"/>
    <col min="15877" max="15877" width="9.7109375" bestFit="1" customWidth="1"/>
    <col min="15878" max="15879" width="11.7109375" customWidth="1"/>
    <col min="15880" max="15880" width="11.5703125" customWidth="1"/>
    <col min="15881" max="15881" width="12.140625" customWidth="1"/>
    <col min="15884" max="15884" width="4.42578125" customWidth="1"/>
    <col min="15885" max="15885" width="14.140625" customWidth="1"/>
    <col min="16129" max="16129" width="5.28515625" customWidth="1"/>
    <col min="16130" max="16130" width="10.85546875" customWidth="1"/>
    <col min="16131" max="16131" width="13.42578125" customWidth="1"/>
    <col min="16132" max="16132" width="15.85546875" customWidth="1"/>
    <col min="16133" max="16133" width="9.7109375" bestFit="1" customWidth="1"/>
    <col min="16134" max="16135" width="11.7109375" customWidth="1"/>
    <col min="16136" max="16136" width="11.5703125" customWidth="1"/>
    <col min="16137" max="16137" width="12.140625" customWidth="1"/>
    <col min="16140" max="16140" width="4.42578125" customWidth="1"/>
    <col min="16141" max="16141" width="14.140625" customWidth="1"/>
  </cols>
  <sheetData>
    <row r="1" spans="1:20" s="500" customFormat="1" ht="20.100000000000001" customHeight="1">
      <c r="A1" s="1446" t="s">
        <v>643</v>
      </c>
      <c r="B1" s="1447"/>
      <c r="C1" s="1447"/>
      <c r="D1" s="1447"/>
      <c r="E1" s="1447"/>
      <c r="F1" s="1447"/>
      <c r="G1" s="1447"/>
      <c r="H1" s="1447"/>
      <c r="I1" s="1447"/>
      <c r="J1" s="1447"/>
      <c r="K1" s="1447"/>
      <c r="L1" s="1447"/>
      <c r="M1" s="1448"/>
    </row>
    <row r="2" spans="1:20" s="500" customFormat="1" ht="20.100000000000001" customHeight="1">
      <c r="A2" s="1449"/>
      <c r="B2" s="1449"/>
      <c r="C2" s="1449"/>
      <c r="D2" s="1449"/>
      <c r="E2" s="1449"/>
      <c r="F2" s="1449"/>
      <c r="G2" s="1449"/>
      <c r="H2" s="1449"/>
      <c r="I2" s="1449"/>
      <c r="J2" s="1449"/>
      <c r="K2" s="1449"/>
      <c r="L2" s="1449"/>
      <c r="M2" s="1449"/>
    </row>
    <row r="3" spans="1:20" s="500" customFormat="1" ht="20.100000000000001" customHeight="1">
      <c r="A3" s="501"/>
      <c r="B3" s="502" t="s">
        <v>644</v>
      </c>
      <c r="C3" s="502"/>
      <c r="D3" s="502"/>
      <c r="E3" s="502"/>
      <c r="F3" s="502"/>
      <c r="G3" s="502"/>
      <c r="H3" s="502"/>
      <c r="I3" s="502"/>
      <c r="J3" s="502"/>
      <c r="K3" s="502"/>
      <c r="L3" s="502"/>
      <c r="M3" s="502"/>
    </row>
    <row r="4" spans="1:20" s="500" customFormat="1" ht="20.100000000000001" customHeight="1">
      <c r="A4" s="501"/>
      <c r="B4" s="502" t="s">
        <v>645</v>
      </c>
      <c r="C4" s="502"/>
      <c r="D4" s="503">
        <v>450</v>
      </c>
      <c r="E4" s="502" t="s">
        <v>646</v>
      </c>
      <c r="F4" s="502"/>
      <c r="G4" s="502"/>
      <c r="H4" s="502"/>
      <c r="I4" s="502"/>
      <c r="J4" s="502"/>
      <c r="K4" s="502"/>
      <c r="L4" s="502"/>
      <c r="M4" s="502"/>
    </row>
    <row r="5" spans="1:20" s="500" customFormat="1" ht="20.100000000000001" customHeight="1">
      <c r="A5" s="501"/>
      <c r="B5" s="502" t="s">
        <v>647</v>
      </c>
      <c r="C5" s="502"/>
      <c r="D5" s="503">
        <v>75</v>
      </c>
      <c r="E5" s="502" t="s">
        <v>646</v>
      </c>
      <c r="F5" s="502"/>
      <c r="G5" s="502"/>
      <c r="H5" s="502"/>
      <c r="I5" s="502"/>
      <c r="J5" s="502"/>
      <c r="K5" s="502"/>
      <c r="L5" s="502"/>
      <c r="M5" s="502"/>
    </row>
    <row r="6" spans="1:20" s="500" customFormat="1" ht="20.100000000000001" customHeight="1">
      <c r="A6" s="501"/>
      <c r="B6" s="502"/>
      <c r="C6" s="502"/>
      <c r="D6" s="502"/>
      <c r="E6" s="502"/>
      <c r="F6" s="502"/>
      <c r="G6" s="502"/>
      <c r="H6" s="502"/>
      <c r="I6" s="502"/>
      <c r="J6" s="502"/>
      <c r="K6" s="502"/>
      <c r="L6" s="502"/>
      <c r="M6" s="502"/>
    </row>
    <row r="7" spans="1:20" s="500" customFormat="1" ht="20.100000000000001" customHeight="1">
      <c r="A7" s="501" t="s">
        <v>648</v>
      </c>
      <c r="B7" s="502" t="s">
        <v>649</v>
      </c>
      <c r="C7" s="502"/>
      <c r="D7" s="502">
        <f>D4</f>
        <v>450</v>
      </c>
      <c r="E7" s="502" t="s">
        <v>650</v>
      </c>
      <c r="F7" s="502"/>
      <c r="G7" s="502"/>
      <c r="H7" s="504"/>
      <c r="I7" s="502"/>
      <c r="J7" s="502"/>
      <c r="K7" s="502"/>
      <c r="L7" s="502" t="s">
        <v>651</v>
      </c>
      <c r="M7" s="505">
        <v>2044</v>
      </c>
      <c r="O7" s="506"/>
      <c r="P7" s="506"/>
      <c r="Q7" s="506"/>
      <c r="R7" s="506"/>
      <c r="S7" s="506"/>
    </row>
    <row r="8" spans="1:20" s="500" customFormat="1" ht="20.100000000000001" customHeight="1">
      <c r="A8" s="501"/>
      <c r="B8" s="1450" t="s">
        <v>652</v>
      </c>
      <c r="C8" s="1450"/>
      <c r="D8" s="1450"/>
      <c r="E8" s="1450"/>
      <c r="F8" s="1450"/>
      <c r="G8" s="1450"/>
      <c r="H8" s="502"/>
      <c r="I8" s="502"/>
      <c r="J8" s="502"/>
      <c r="K8" s="502"/>
      <c r="L8" s="502"/>
      <c r="M8" s="502"/>
    </row>
    <row r="9" spans="1:20" s="500" customFormat="1" ht="20.100000000000001" customHeight="1">
      <c r="A9" s="501"/>
      <c r="B9" s="502"/>
      <c r="C9" s="502"/>
      <c r="D9" s="502"/>
      <c r="E9" s="502"/>
      <c r="F9" s="502"/>
      <c r="G9" s="502"/>
      <c r="H9" s="502"/>
      <c r="I9" s="502"/>
      <c r="J9" s="502"/>
      <c r="K9" s="502"/>
      <c r="L9" s="502"/>
      <c r="M9" s="502"/>
    </row>
    <row r="10" spans="1:20" s="500" customFormat="1" ht="20.100000000000001" customHeight="1">
      <c r="A10" s="501"/>
      <c r="B10" s="502"/>
      <c r="C10" s="502"/>
      <c r="D10" s="502"/>
      <c r="E10" s="502"/>
      <c r="F10" s="502"/>
      <c r="G10" s="502"/>
      <c r="H10" s="502"/>
      <c r="I10" s="502"/>
      <c r="J10" s="502"/>
      <c r="K10" s="502"/>
      <c r="L10" s="502"/>
      <c r="M10" s="502"/>
    </row>
    <row r="11" spans="1:20" s="500" customFormat="1" ht="20.100000000000001" customHeight="1">
      <c r="A11" s="501" t="s">
        <v>653</v>
      </c>
      <c r="B11" s="507" t="s">
        <v>654</v>
      </c>
      <c r="C11" s="507"/>
      <c r="D11" s="507"/>
      <c r="E11" s="507"/>
      <c r="F11" s="507"/>
      <c r="G11" s="507"/>
      <c r="H11" s="502"/>
      <c r="I11" s="502"/>
      <c r="J11" s="502"/>
      <c r="K11" s="502"/>
      <c r="L11" s="502"/>
      <c r="M11" s="502"/>
      <c r="O11" s="1454"/>
      <c r="P11" s="1454"/>
      <c r="Q11" s="1454"/>
      <c r="R11" s="1454"/>
      <c r="S11" s="1454"/>
      <c r="T11" s="1454"/>
    </row>
    <row r="12" spans="1:20" s="500" customFormat="1" ht="20.100000000000001" customHeight="1">
      <c r="A12" s="501"/>
      <c r="B12" s="507" t="s">
        <v>655</v>
      </c>
      <c r="C12" s="508">
        <v>3.79</v>
      </c>
      <c r="D12" s="507" t="s">
        <v>656</v>
      </c>
      <c r="E12" s="507"/>
      <c r="F12" s="1455" t="s">
        <v>657</v>
      </c>
      <c r="G12" s="1455"/>
      <c r="H12" s="502">
        <f>SUM(C12:C13)</f>
        <v>4.57</v>
      </c>
      <c r="I12" s="502" t="s">
        <v>658</v>
      </c>
      <c r="J12" s="502" t="s">
        <v>659</v>
      </c>
      <c r="K12" s="502"/>
      <c r="L12" s="502"/>
      <c r="M12" s="502"/>
      <c r="O12" s="547"/>
      <c r="P12" s="547"/>
      <c r="Q12" s="547"/>
      <c r="R12" s="547"/>
      <c r="S12" s="547"/>
      <c r="T12" s="547"/>
    </row>
    <row r="13" spans="1:20" s="500" customFormat="1" ht="20.100000000000001" customHeight="1">
      <c r="A13" s="501"/>
      <c r="B13" s="507" t="s">
        <v>660</v>
      </c>
      <c r="C13" s="508">
        <v>0.78</v>
      </c>
      <c r="D13" s="507" t="s">
        <v>656</v>
      </c>
      <c r="E13" s="507"/>
      <c r="F13" s="507"/>
      <c r="G13" s="507"/>
      <c r="H13" s="502"/>
      <c r="I13" s="502"/>
      <c r="J13" s="502"/>
      <c r="K13" s="502"/>
      <c r="L13" s="502"/>
      <c r="M13" s="502"/>
      <c r="O13" s="547"/>
      <c r="P13" s="547"/>
      <c r="Q13" s="547"/>
      <c r="R13" s="547"/>
      <c r="S13" s="547"/>
      <c r="T13" s="547"/>
    </row>
    <row r="14" spans="1:20" s="500" customFormat="1" ht="20.100000000000001" customHeight="1">
      <c r="A14" s="501"/>
      <c r="B14" s="509"/>
      <c r="C14" s="509"/>
      <c r="D14" s="509"/>
      <c r="E14" s="502"/>
      <c r="F14" s="502"/>
      <c r="G14" s="502"/>
      <c r="H14" s="502"/>
      <c r="I14" s="502"/>
      <c r="J14" s="502"/>
      <c r="K14" s="502"/>
      <c r="L14" s="502"/>
      <c r="M14" s="502"/>
    </row>
    <row r="15" spans="1:20" s="500" customFormat="1" ht="20.100000000000001" customHeight="1">
      <c r="A15" s="501"/>
      <c r="B15" s="507" t="s">
        <v>661</v>
      </c>
      <c r="C15" s="548"/>
      <c r="D15" s="510"/>
      <c r="E15" s="510">
        <v>37000</v>
      </c>
      <c r="F15" s="505"/>
      <c r="G15" s="502" t="s">
        <v>662</v>
      </c>
      <c r="H15" s="502"/>
      <c r="I15" s="505"/>
      <c r="J15" s="502"/>
      <c r="K15" s="502"/>
      <c r="L15" s="502"/>
      <c r="M15" s="502"/>
    </row>
    <row r="16" spans="1:20" s="500" customFormat="1" ht="20.100000000000001" customHeight="1">
      <c r="A16" s="501"/>
      <c r="B16" s="507" t="s">
        <v>663</v>
      </c>
      <c r="C16" s="548"/>
      <c r="D16" s="510"/>
      <c r="E16" s="510">
        <v>47000</v>
      </c>
      <c r="F16" s="505"/>
      <c r="G16" s="502" t="s">
        <v>664</v>
      </c>
      <c r="H16" s="502"/>
      <c r="I16" s="505"/>
      <c r="J16" s="502"/>
      <c r="K16" s="502"/>
      <c r="L16" s="502"/>
      <c r="M16" s="502"/>
    </row>
    <row r="17" spans="1:15" s="500" customFormat="1" ht="18.75">
      <c r="A17" s="501"/>
      <c r="B17" s="502"/>
      <c r="C17" s="502" t="s">
        <v>665</v>
      </c>
      <c r="D17" s="548" t="s">
        <v>651</v>
      </c>
      <c r="E17" s="502"/>
      <c r="F17" s="511">
        <f>E15-E16</f>
        <v>-10000</v>
      </c>
      <c r="G17" s="1453">
        <f>-H12</f>
        <v>-4.57</v>
      </c>
      <c r="H17" s="512"/>
      <c r="I17" s="507"/>
      <c r="J17" s="502"/>
      <c r="K17" s="502"/>
      <c r="L17" s="502" t="s">
        <v>651</v>
      </c>
      <c r="M17" s="513">
        <f>(E15-E16)/1000*H12</f>
        <v>-45.7</v>
      </c>
    </row>
    <row r="18" spans="1:15" s="500" customFormat="1" ht="18.75">
      <c r="A18" s="501"/>
      <c r="B18" s="502"/>
      <c r="C18" s="502"/>
      <c r="D18" s="502"/>
      <c r="E18" s="502"/>
      <c r="F18" s="514">
        <v>1000</v>
      </c>
      <c r="G18" s="1453"/>
      <c r="H18" s="549"/>
      <c r="I18" s="507"/>
      <c r="J18" s="502"/>
      <c r="K18" s="502"/>
      <c r="L18" s="502"/>
      <c r="M18" s="502"/>
    </row>
    <row r="19" spans="1:15" s="500" customFormat="1" ht="18.75">
      <c r="A19" s="501"/>
      <c r="B19" s="502"/>
      <c r="C19" s="502"/>
      <c r="D19" s="502"/>
      <c r="E19" s="502"/>
      <c r="F19" s="502"/>
      <c r="G19" s="502"/>
      <c r="H19" s="502"/>
      <c r="I19" s="502"/>
      <c r="J19" s="502"/>
      <c r="K19" s="502"/>
      <c r="L19" s="502"/>
      <c r="M19" s="502"/>
    </row>
    <row r="20" spans="1:15" s="500" customFormat="1" ht="18.75">
      <c r="A20" s="501"/>
      <c r="B20" s="1450"/>
      <c r="C20" s="1450"/>
      <c r="D20" s="1450"/>
      <c r="E20" s="1450"/>
      <c r="F20" s="1450"/>
      <c r="G20" s="1450"/>
      <c r="H20" s="1450"/>
      <c r="I20" s="502"/>
      <c r="J20" s="502"/>
      <c r="K20" s="502"/>
      <c r="L20" s="502" t="s">
        <v>651</v>
      </c>
      <c r="M20" s="515">
        <f>M7+M17</f>
        <v>1998.3</v>
      </c>
    </row>
    <row r="21" spans="1:15" s="500" customFormat="1" ht="18.75">
      <c r="A21" s="501"/>
      <c r="B21" s="502"/>
      <c r="C21" s="502"/>
      <c r="D21" s="502"/>
      <c r="E21" s="502"/>
      <c r="F21" s="502"/>
      <c r="G21" s="502"/>
      <c r="H21" s="502"/>
      <c r="I21" s="502"/>
      <c r="J21" s="502"/>
      <c r="K21" s="502"/>
      <c r="L21" s="502"/>
      <c r="M21" s="502"/>
    </row>
    <row r="22" spans="1:15" s="500" customFormat="1" ht="18.75">
      <c r="A22" s="501" t="s">
        <v>666</v>
      </c>
      <c r="B22" s="1450" t="s">
        <v>667</v>
      </c>
      <c r="C22" s="1450"/>
      <c r="D22" s="1450"/>
      <c r="E22" s="1450"/>
      <c r="F22" s="1450"/>
      <c r="G22" s="1450"/>
      <c r="H22" s="1450"/>
      <c r="I22" s="502"/>
      <c r="J22" s="502"/>
      <c r="K22" s="502"/>
      <c r="L22" s="502"/>
      <c r="M22" s="515"/>
    </row>
    <row r="23" spans="1:15" s="500" customFormat="1" ht="18.75">
      <c r="A23" s="501"/>
      <c r="B23" s="502" t="s">
        <v>668</v>
      </c>
      <c r="C23" s="502"/>
      <c r="D23" s="507" t="s">
        <v>669</v>
      </c>
      <c r="E23" s="507">
        <f>(D4+D5/2)/1000</f>
        <v>0.48749999999999999</v>
      </c>
      <c r="F23" s="549" t="s">
        <v>163</v>
      </c>
      <c r="G23" s="507">
        <f>D5/1000</f>
        <v>7.4999999999999997E-2</v>
      </c>
      <c r="H23" s="507" t="s">
        <v>670</v>
      </c>
      <c r="I23" s="509"/>
      <c r="J23" s="509"/>
      <c r="K23" s="516">
        <f>(22/7)*((D4+(D5/2))*D5*2.65)/1000000</f>
        <v>0.30451339285714285</v>
      </c>
      <c r="L23" s="507" t="s">
        <v>109</v>
      </c>
      <c r="M23" s="515"/>
    </row>
    <row r="24" spans="1:15" s="500" customFormat="1" ht="18.75">
      <c r="A24" s="501"/>
      <c r="B24" s="502" t="s">
        <v>671</v>
      </c>
      <c r="C24" s="502"/>
      <c r="D24" s="502"/>
      <c r="E24" s="502"/>
      <c r="F24" s="502"/>
      <c r="G24" s="507"/>
      <c r="H24" s="507"/>
      <c r="I24" s="502"/>
      <c r="J24" s="502"/>
      <c r="K24" s="502"/>
      <c r="L24" s="502"/>
      <c r="M24" s="515"/>
    </row>
    <row r="25" spans="1:15" s="500" customFormat="1" ht="18.75">
      <c r="A25" s="501"/>
      <c r="B25" s="502">
        <f>K23</f>
        <v>0.30451339285714285</v>
      </c>
      <c r="C25" s="517" t="s">
        <v>672</v>
      </c>
      <c r="D25" s="517">
        <f>B25*7.2</f>
        <v>2.1924964285714288</v>
      </c>
      <c r="E25" s="502" t="s">
        <v>673</v>
      </c>
      <c r="F25" s="502"/>
      <c r="G25" s="510">
        <f>D25/2.5</f>
        <v>0.87699857142857152</v>
      </c>
      <c r="H25" s="502" t="s">
        <v>674</v>
      </c>
      <c r="I25" s="509"/>
      <c r="J25" s="509"/>
      <c r="K25" s="509"/>
      <c r="L25" s="509"/>
      <c r="M25" s="509"/>
      <c r="O25" s="518"/>
    </row>
    <row r="26" spans="1:15" s="500" customFormat="1" ht="18.75">
      <c r="A26" s="501"/>
      <c r="B26" s="507" t="s">
        <v>675</v>
      </c>
      <c r="C26" s="505"/>
      <c r="D26" s="519"/>
      <c r="E26" s="519"/>
      <c r="F26" s="548" t="s">
        <v>676</v>
      </c>
      <c r="G26" s="510">
        <f>G25*50</f>
        <v>43.849928571428578</v>
      </c>
      <c r="H26" s="502" t="s">
        <v>658</v>
      </c>
      <c r="I26" s="502"/>
      <c r="J26" s="502"/>
      <c r="K26" s="502"/>
      <c r="L26" s="502"/>
      <c r="M26" s="515"/>
    </row>
    <row r="27" spans="1:15" s="500" customFormat="1" ht="18.75">
      <c r="A27" s="501"/>
      <c r="B27" s="502"/>
      <c r="C27" s="502"/>
      <c r="D27" s="502"/>
      <c r="E27" s="502"/>
      <c r="F27" s="548"/>
      <c r="G27" s="520"/>
      <c r="H27" s="509"/>
      <c r="I27" s="502"/>
      <c r="J27" s="502"/>
      <c r="K27" s="502"/>
      <c r="L27" s="502"/>
      <c r="M27" s="515"/>
    </row>
    <row r="28" spans="1:15" s="500" customFormat="1" ht="18.75">
      <c r="A28" s="501"/>
      <c r="B28" s="1450" t="s">
        <v>677</v>
      </c>
      <c r="C28" s="1450"/>
      <c r="D28" s="1450"/>
      <c r="E28" s="1450"/>
      <c r="F28" s="1450"/>
      <c r="G28" s="1450"/>
      <c r="H28" s="502"/>
      <c r="I28" s="502"/>
      <c r="J28" s="502"/>
      <c r="K28" s="502"/>
      <c r="L28" s="502"/>
      <c r="M28" s="515"/>
    </row>
    <row r="29" spans="1:15" s="500" customFormat="1" ht="18.75">
      <c r="A29" s="501"/>
      <c r="B29" s="550" t="s">
        <v>678</v>
      </c>
      <c r="C29" s="550"/>
      <c r="D29" s="550"/>
      <c r="E29" s="514">
        <v>4300</v>
      </c>
      <c r="F29" s="550" t="s">
        <v>679</v>
      </c>
      <c r="G29" s="550"/>
      <c r="H29" s="502"/>
      <c r="I29" s="502"/>
      <c r="J29" s="502"/>
      <c r="K29" s="502"/>
      <c r="L29" s="502"/>
      <c r="M29" s="515"/>
    </row>
    <row r="30" spans="1:15" s="500" customFormat="1" ht="18.75">
      <c r="A30" s="501"/>
      <c r="B30" s="550" t="s">
        <v>680</v>
      </c>
      <c r="C30" s="550"/>
      <c r="D30" s="550"/>
      <c r="E30" s="514">
        <v>5300</v>
      </c>
      <c r="F30" s="550" t="s">
        <v>679</v>
      </c>
      <c r="G30" s="550"/>
      <c r="H30" s="502"/>
      <c r="I30" s="502"/>
      <c r="J30" s="502"/>
      <c r="K30" s="502"/>
      <c r="L30" s="502"/>
      <c r="M30" s="515"/>
    </row>
    <row r="31" spans="1:15" s="500" customFormat="1" ht="18.75">
      <c r="A31" s="501"/>
      <c r="B31" s="507"/>
      <c r="C31" s="507"/>
      <c r="D31" s="548"/>
      <c r="E31" s="548"/>
      <c r="F31" s="550"/>
      <c r="G31" s="520">
        <f>E29-E30</f>
        <v>-1000</v>
      </c>
      <c r="H31" s="1452">
        <f>G26</f>
        <v>43.849928571428578</v>
      </c>
      <c r="I31" s="549"/>
      <c r="J31" s="502"/>
      <c r="K31" s="521"/>
      <c r="L31" s="502" t="s">
        <v>651</v>
      </c>
      <c r="M31" s="505">
        <f>G31/1000*H31</f>
        <v>-43.849928571428578</v>
      </c>
    </row>
    <row r="32" spans="1:15" s="500" customFormat="1" ht="18.75">
      <c r="A32" s="501"/>
      <c r="B32" s="502"/>
      <c r="C32" s="502"/>
      <c r="D32" s="502"/>
      <c r="E32" s="502"/>
      <c r="F32" s="502"/>
      <c r="G32" s="549">
        <v>1000</v>
      </c>
      <c r="H32" s="1453"/>
      <c r="I32" s="549"/>
      <c r="J32" s="502"/>
      <c r="K32" s="502"/>
      <c r="L32" s="502"/>
      <c r="M32" s="502"/>
    </row>
    <row r="33" spans="1:19" s="500" customFormat="1" ht="18.75">
      <c r="A33" s="501"/>
      <c r="B33" s="502"/>
      <c r="C33" s="502"/>
      <c r="D33" s="502"/>
      <c r="E33" s="502"/>
      <c r="F33" s="502"/>
      <c r="G33" s="502"/>
      <c r="H33" s="502"/>
      <c r="I33" s="502"/>
      <c r="J33" s="502"/>
      <c r="K33" s="502"/>
      <c r="L33" s="502"/>
      <c r="M33" s="502"/>
    </row>
    <row r="34" spans="1:19" s="500" customFormat="1" ht="18.75">
      <c r="A34" s="501"/>
      <c r="B34" s="502"/>
      <c r="C34" s="502"/>
      <c r="D34" s="502"/>
      <c r="E34" s="502"/>
      <c r="F34" s="502"/>
      <c r="G34" s="502"/>
      <c r="H34" s="502"/>
      <c r="I34" s="549"/>
      <c r="J34" s="502"/>
      <c r="K34" s="502"/>
      <c r="L34" s="502"/>
      <c r="M34" s="505"/>
    </row>
    <row r="35" spans="1:19" s="500" customFormat="1" ht="18.75">
      <c r="A35" s="501" t="s">
        <v>681</v>
      </c>
      <c r="B35" s="509" t="s">
        <v>682</v>
      </c>
      <c r="C35" s="502"/>
      <c r="D35" s="502">
        <f>D4</f>
        <v>450</v>
      </c>
      <c r="E35" s="502" t="s">
        <v>683</v>
      </c>
      <c r="F35" s="502"/>
      <c r="G35" s="502"/>
      <c r="H35" s="502"/>
      <c r="I35" s="502"/>
      <c r="J35" s="502"/>
      <c r="K35" s="502"/>
      <c r="L35" s="502"/>
      <c r="M35" s="515">
        <f>M31+M20</f>
        <v>1954.4500714285714</v>
      </c>
      <c r="P35" s="522"/>
    </row>
    <row r="36" spans="1:19" s="500" customFormat="1" ht="18.75">
      <c r="A36" s="523" t="s">
        <v>684</v>
      </c>
      <c r="B36" s="503" t="s">
        <v>709</v>
      </c>
      <c r="C36" s="503"/>
      <c r="D36" s="503"/>
      <c r="E36" s="503"/>
      <c r="F36" s="503"/>
      <c r="G36" s="503"/>
      <c r="H36" s="503"/>
      <c r="I36" s="503"/>
      <c r="J36" s="503"/>
      <c r="K36" s="503"/>
      <c r="L36" s="503"/>
      <c r="M36" s="524">
        <f>84.9+15*3.94</f>
        <v>144</v>
      </c>
      <c r="O36" s="525" t="s">
        <v>685</v>
      </c>
      <c r="P36" s="525"/>
      <c r="Q36" s="525"/>
      <c r="R36" s="525"/>
      <c r="S36" s="525"/>
    </row>
    <row r="37" spans="1:19" s="500" customFormat="1" ht="18.75">
      <c r="A37" s="501"/>
      <c r="B37" s="502"/>
      <c r="C37" s="502"/>
      <c r="D37" s="502"/>
      <c r="E37" s="502"/>
      <c r="F37" s="502"/>
      <c r="G37" s="502"/>
      <c r="H37" s="502"/>
      <c r="I37" s="502"/>
      <c r="J37" s="502"/>
      <c r="K37" s="1456" t="s">
        <v>686</v>
      </c>
      <c r="L37" s="1456"/>
      <c r="M37" s="515">
        <f>SUM(M35:M36)</f>
        <v>2098.4500714285714</v>
      </c>
    </row>
    <row r="38" spans="1:19" s="500" customFormat="1" ht="18.75">
      <c r="A38" s="501" t="s">
        <v>687</v>
      </c>
      <c r="B38" s="526">
        <v>0.13614999999999999</v>
      </c>
      <c r="C38" s="502" t="s">
        <v>688</v>
      </c>
      <c r="D38" s="502"/>
      <c r="E38" s="502"/>
      <c r="F38" s="502"/>
      <c r="G38" s="502"/>
      <c r="H38" s="502"/>
      <c r="I38" s="502"/>
      <c r="J38" s="502"/>
      <c r="K38" s="502"/>
      <c r="L38" s="502"/>
      <c r="M38" s="505">
        <f>M37*13.615%</f>
        <v>285.70397722499996</v>
      </c>
    </row>
    <row r="39" spans="1:19" s="500" customFormat="1" ht="18.75">
      <c r="A39" s="523" t="s">
        <v>689</v>
      </c>
      <c r="B39" s="503" t="s">
        <v>690</v>
      </c>
      <c r="C39" s="503"/>
      <c r="D39" s="503"/>
      <c r="E39" s="503"/>
      <c r="F39" s="503"/>
      <c r="G39" s="503"/>
      <c r="H39" s="503"/>
      <c r="I39" s="503"/>
      <c r="J39" s="503"/>
      <c r="K39" s="503"/>
      <c r="L39" s="503"/>
      <c r="M39" s="524">
        <f>H65</f>
        <v>271.60000000000002</v>
      </c>
    </row>
    <row r="40" spans="1:19" s="500" customFormat="1" ht="18.75">
      <c r="A40" s="501"/>
      <c r="B40" s="502"/>
      <c r="C40" s="502"/>
      <c r="D40" s="502"/>
      <c r="E40" s="502"/>
      <c r="F40" s="502"/>
      <c r="G40" s="502"/>
      <c r="H40" s="502"/>
      <c r="I40" s="502"/>
      <c r="J40" s="502"/>
      <c r="K40" s="502"/>
      <c r="L40" s="502" t="s">
        <v>651</v>
      </c>
      <c r="M40" s="515">
        <f>SUM(M37:M39)</f>
        <v>2655.7540486535713</v>
      </c>
    </row>
    <row r="41" spans="1:19" s="500" customFormat="1" ht="18.75">
      <c r="A41" s="501"/>
      <c r="B41" s="502"/>
      <c r="C41" s="502"/>
      <c r="D41" s="502"/>
      <c r="E41" s="502"/>
      <c r="F41" s="502"/>
      <c r="G41" s="502"/>
      <c r="H41" s="502"/>
      <c r="I41" s="502"/>
      <c r="J41" s="502"/>
      <c r="K41" s="504" t="s">
        <v>691</v>
      </c>
      <c r="L41" s="504" t="s">
        <v>692</v>
      </c>
      <c r="M41" s="515">
        <f>CEILING(M40,0.05)</f>
        <v>2655.8</v>
      </c>
    </row>
    <row r="42" spans="1:19" s="500" customFormat="1" ht="18.75">
      <c r="A42" s="501"/>
      <c r="B42" s="502"/>
      <c r="C42" s="502"/>
      <c r="D42" s="502"/>
      <c r="E42" s="502"/>
      <c r="F42" s="502"/>
      <c r="G42" s="502"/>
      <c r="H42" s="502"/>
      <c r="I42" s="502"/>
      <c r="J42" s="502"/>
      <c r="K42" s="502"/>
      <c r="L42" s="502"/>
      <c r="M42" s="504" t="s">
        <v>693</v>
      </c>
    </row>
    <row r="43" spans="1:19">
      <c r="B43" s="476"/>
      <c r="C43" s="476"/>
      <c r="D43" s="476"/>
      <c r="E43" s="476"/>
      <c r="F43" s="476"/>
      <c r="G43" s="476"/>
      <c r="H43" s="476"/>
      <c r="I43" s="476"/>
      <c r="J43" s="476"/>
      <c r="K43" s="476"/>
      <c r="L43" s="476"/>
      <c r="M43" s="476"/>
    </row>
    <row r="44" spans="1:19">
      <c r="B44" s="476"/>
      <c r="C44" s="476"/>
      <c r="D44" s="476"/>
      <c r="E44" s="476"/>
      <c r="F44" s="476"/>
      <c r="G44" s="476"/>
      <c r="H44" s="476"/>
      <c r="I44" s="476"/>
      <c r="J44" s="476"/>
      <c r="K44" s="476"/>
      <c r="L44" s="476"/>
      <c r="M44" s="476"/>
    </row>
    <row r="45" spans="1:19">
      <c r="B45" s="476"/>
      <c r="C45" s="476"/>
      <c r="D45" s="476"/>
      <c r="E45" s="476"/>
      <c r="F45" s="476"/>
      <c r="G45" s="476"/>
      <c r="H45" s="476"/>
      <c r="I45" s="476"/>
      <c r="J45" s="476"/>
      <c r="K45" s="476"/>
      <c r="L45" s="476"/>
      <c r="M45" s="476"/>
    </row>
    <row r="46" spans="1:19">
      <c r="B46" s="476"/>
      <c r="C46" s="476"/>
      <c r="D46" s="476"/>
      <c r="E46" s="476"/>
      <c r="F46" s="476"/>
      <c r="G46" s="476"/>
      <c r="H46" s="476"/>
      <c r="I46" s="476"/>
      <c r="J46" s="476"/>
      <c r="K46" s="476"/>
      <c r="L46" s="476"/>
      <c r="M46" s="476"/>
    </row>
    <row r="47" spans="1:19" ht="18.75">
      <c r="A47" s="527"/>
      <c r="B47" s="502" t="s">
        <v>239</v>
      </c>
      <c r="C47" s="502"/>
      <c r="D47" s="502"/>
      <c r="E47" s="502"/>
      <c r="F47" s="502"/>
      <c r="G47" s="502"/>
      <c r="H47" s="502"/>
      <c r="I47" s="502"/>
      <c r="J47" s="502"/>
      <c r="K47" s="502"/>
      <c r="L47" s="502"/>
      <c r="M47" s="502"/>
    </row>
    <row r="48" spans="1:19" ht="18.75">
      <c r="A48" s="527"/>
      <c r="B48" s="502"/>
      <c r="C48" s="1451" t="s">
        <v>694</v>
      </c>
      <c r="D48" s="1451"/>
      <c r="E48" s="1451"/>
      <c r="F48" s="1451"/>
      <c r="G48" s="1451"/>
      <c r="H48" s="1451"/>
      <c r="I48" s="1451"/>
      <c r="J48" s="1451"/>
      <c r="K48" s="1451"/>
      <c r="L48" s="1451"/>
      <c r="M48" s="1451"/>
    </row>
    <row r="49" spans="1:13" ht="18.75">
      <c r="A49" s="527"/>
      <c r="B49" s="502"/>
      <c r="C49" s="502" t="s">
        <v>241</v>
      </c>
      <c r="D49" s="502"/>
      <c r="E49" s="502"/>
      <c r="F49" s="502"/>
      <c r="G49" s="502"/>
      <c r="H49" s="502"/>
      <c r="I49" s="502"/>
      <c r="J49" s="502"/>
      <c r="K49" s="502"/>
      <c r="L49" s="502"/>
      <c r="M49" s="502"/>
    </row>
    <row r="50" spans="1:13" ht="18.75">
      <c r="A50" s="527"/>
      <c r="B50" s="502"/>
      <c r="C50" s="502" t="s">
        <v>695</v>
      </c>
      <c r="D50" s="502"/>
      <c r="E50" s="502"/>
      <c r="F50" s="502"/>
      <c r="G50" s="502"/>
      <c r="H50" s="502"/>
      <c r="I50" s="502"/>
      <c r="J50" s="502"/>
      <c r="K50" s="502"/>
      <c r="L50" s="502"/>
      <c r="M50" s="502"/>
    </row>
    <row r="51" spans="1:13" ht="18.75">
      <c r="A51" s="527"/>
      <c r="B51" s="502"/>
      <c r="C51" s="503" t="s">
        <v>696</v>
      </c>
      <c r="D51" s="502"/>
      <c r="E51" s="502"/>
      <c r="F51" s="502"/>
      <c r="G51" s="502"/>
      <c r="H51" s="502"/>
      <c r="I51" s="502"/>
      <c r="J51" s="502"/>
      <c r="K51" s="502"/>
      <c r="L51" s="502"/>
      <c r="M51" s="502"/>
    </row>
    <row r="52" spans="1:13" ht="18.75">
      <c r="A52" s="527"/>
      <c r="B52" s="502"/>
      <c r="C52" s="502" t="s">
        <v>697</v>
      </c>
      <c r="D52" s="502"/>
      <c r="E52" s="502" t="s">
        <v>698</v>
      </c>
      <c r="F52" s="502" t="s">
        <v>9</v>
      </c>
      <c r="G52" s="502" t="s">
        <v>294</v>
      </c>
      <c r="H52" s="502" t="s">
        <v>567</v>
      </c>
      <c r="I52" s="502"/>
      <c r="J52" s="502"/>
      <c r="K52" s="502"/>
      <c r="L52" s="502"/>
      <c r="M52" s="502"/>
    </row>
    <row r="53" spans="1:13" ht="18.75">
      <c r="A53" s="527"/>
      <c r="B53" s="502"/>
      <c r="C53" s="502" t="s">
        <v>279</v>
      </c>
      <c r="D53" s="502"/>
      <c r="E53" s="503">
        <v>2.25</v>
      </c>
      <c r="F53" s="502" t="s">
        <v>18</v>
      </c>
      <c r="G53" s="505">
        <v>470</v>
      </c>
      <c r="H53" s="505">
        <f>E53*G53</f>
        <v>1057.5</v>
      </c>
      <c r="I53" s="502"/>
      <c r="J53" s="502"/>
      <c r="K53" s="502"/>
      <c r="L53" s="502"/>
      <c r="M53" s="502"/>
    </row>
    <row r="54" spans="1:13" ht="18.75">
      <c r="A54" s="527"/>
      <c r="B54" s="502"/>
      <c r="C54" s="502" t="s">
        <v>699</v>
      </c>
      <c r="D54" s="502"/>
      <c r="E54" s="503">
        <v>5.25</v>
      </c>
      <c r="F54" s="502" t="s">
        <v>18</v>
      </c>
      <c r="G54" s="505">
        <v>425</v>
      </c>
      <c r="H54" s="505">
        <f t="shared" ref="H54:H59" si="0">E54*G54</f>
        <v>2231.25</v>
      </c>
      <c r="I54" s="502"/>
      <c r="J54" s="502"/>
      <c r="K54" s="502"/>
      <c r="L54" s="502"/>
      <c r="M54" s="502"/>
    </row>
    <row r="55" spans="1:13" ht="18.75">
      <c r="A55" s="527"/>
      <c r="B55" s="502"/>
      <c r="C55" s="502" t="s">
        <v>700</v>
      </c>
      <c r="D55" s="502"/>
      <c r="E55" s="503">
        <v>15</v>
      </c>
      <c r="F55" s="502" t="s">
        <v>18</v>
      </c>
      <c r="G55" s="505">
        <v>400</v>
      </c>
      <c r="H55" s="505">
        <f t="shared" si="0"/>
        <v>6000</v>
      </c>
      <c r="I55" s="502"/>
      <c r="J55" s="502"/>
      <c r="K55" s="502"/>
      <c r="L55" s="502"/>
      <c r="M55" s="502"/>
    </row>
    <row r="56" spans="1:13" ht="18.75">
      <c r="A56" s="527"/>
      <c r="B56" s="502"/>
      <c r="C56" s="502" t="s">
        <v>701</v>
      </c>
      <c r="D56" s="502"/>
      <c r="E56" s="503">
        <v>3.3</v>
      </c>
      <c r="F56" s="502" t="s">
        <v>18</v>
      </c>
      <c r="G56" s="505">
        <v>400</v>
      </c>
      <c r="H56" s="505">
        <f t="shared" si="0"/>
        <v>1320</v>
      </c>
      <c r="I56" s="502"/>
      <c r="J56" s="502"/>
      <c r="K56" s="502"/>
      <c r="L56" s="502"/>
      <c r="M56" s="502"/>
    </row>
    <row r="57" spans="1:13" ht="18.75">
      <c r="A57" s="527"/>
      <c r="B57" s="502"/>
      <c r="C57" s="502"/>
      <c r="D57" s="502"/>
      <c r="E57" s="503"/>
      <c r="F57" s="502"/>
      <c r="G57" s="505"/>
      <c r="H57" s="505"/>
      <c r="I57" s="502"/>
      <c r="J57" s="502"/>
      <c r="K57" s="502"/>
      <c r="L57" s="502"/>
      <c r="M57" s="502"/>
    </row>
    <row r="58" spans="1:13" ht="18.75">
      <c r="A58" s="527"/>
      <c r="B58" s="502"/>
      <c r="C58" s="502" t="s">
        <v>702</v>
      </c>
      <c r="D58" s="502"/>
      <c r="E58" s="503"/>
      <c r="F58" s="502"/>
      <c r="G58" s="505"/>
      <c r="H58" s="505"/>
      <c r="I58" s="502"/>
      <c r="J58" s="502"/>
      <c r="K58" s="502"/>
      <c r="L58" s="502"/>
      <c r="M58" s="502"/>
    </row>
    <row r="59" spans="1:13" ht="18.75">
      <c r="A59" s="527"/>
      <c r="B59" s="502"/>
      <c r="C59" s="1451" t="s">
        <v>703</v>
      </c>
      <c r="D59" s="1451"/>
      <c r="E59" s="503">
        <v>40</v>
      </c>
      <c r="F59" s="502" t="s">
        <v>247</v>
      </c>
      <c r="G59" s="524">
        <v>234</v>
      </c>
      <c r="H59" s="505">
        <f t="shared" si="0"/>
        <v>9360</v>
      </c>
      <c r="I59" s="502"/>
      <c r="J59" s="502"/>
      <c r="K59" s="502"/>
      <c r="L59" s="502"/>
      <c r="M59" s="502"/>
    </row>
    <row r="60" spans="1:13" ht="18.75">
      <c r="A60" s="527"/>
      <c r="B60" s="502"/>
      <c r="C60" s="502"/>
      <c r="D60" s="502"/>
      <c r="E60" s="502"/>
      <c r="F60" s="502"/>
      <c r="G60" s="502"/>
      <c r="H60" s="505"/>
      <c r="I60" s="502"/>
      <c r="J60" s="502"/>
      <c r="K60" s="502"/>
      <c r="L60" s="502"/>
      <c r="M60" s="502"/>
    </row>
    <row r="61" spans="1:13" ht="18.75">
      <c r="A61" s="527"/>
      <c r="B61" s="502"/>
      <c r="C61" s="502" t="s">
        <v>704</v>
      </c>
      <c r="D61" s="502"/>
      <c r="E61" s="502"/>
      <c r="F61" s="502"/>
      <c r="G61" s="502"/>
      <c r="H61" s="505">
        <f>1%*SUM(H53:H59)</f>
        <v>199.6875</v>
      </c>
      <c r="I61" s="502"/>
      <c r="J61" s="502"/>
      <c r="K61" s="502"/>
      <c r="L61" s="502"/>
      <c r="M61" s="502"/>
    </row>
    <row r="62" spans="1:13" ht="18.75">
      <c r="A62" s="527"/>
      <c r="B62" s="502"/>
      <c r="C62" s="502" t="s">
        <v>705</v>
      </c>
      <c r="D62" s="502"/>
      <c r="E62" s="502"/>
      <c r="F62" s="502"/>
      <c r="G62" s="502"/>
      <c r="H62" s="505">
        <f>13.615%*SUM(H53:H61)</f>
        <v>2745.9327656249998</v>
      </c>
      <c r="I62" s="502"/>
      <c r="J62" s="502"/>
      <c r="K62" s="502"/>
      <c r="L62" s="502"/>
      <c r="M62" s="502"/>
    </row>
    <row r="63" spans="1:13" ht="18.75">
      <c r="A63" s="527"/>
      <c r="B63" s="502"/>
      <c r="C63" s="502" t="s">
        <v>706</v>
      </c>
      <c r="D63" s="502"/>
      <c r="E63" s="502"/>
      <c r="F63" s="502"/>
      <c r="G63" s="502"/>
      <c r="H63" s="505">
        <f>40%*SUM(H53:H56)</f>
        <v>4243.5</v>
      </c>
      <c r="I63" s="502"/>
      <c r="J63" s="502"/>
      <c r="K63" s="502"/>
      <c r="L63" s="502"/>
      <c r="M63" s="502"/>
    </row>
    <row r="64" spans="1:13" ht="18.75">
      <c r="A64" s="527"/>
      <c r="B64" s="502"/>
      <c r="C64" s="502" t="s">
        <v>707</v>
      </c>
      <c r="D64" s="502"/>
      <c r="E64" s="502"/>
      <c r="F64" s="502"/>
      <c r="G64" s="502"/>
      <c r="H64" s="505">
        <f>SUM(H53:H63)</f>
        <v>27157.870265624999</v>
      </c>
      <c r="I64" s="502"/>
      <c r="J64" s="502"/>
      <c r="K64" s="502"/>
      <c r="L64" s="502"/>
      <c r="M64" s="502"/>
    </row>
    <row r="65" spans="1:13" ht="18.75">
      <c r="A65" s="527"/>
      <c r="B65" s="502"/>
      <c r="C65" s="502" t="s">
        <v>708</v>
      </c>
      <c r="D65" s="502"/>
      <c r="E65" s="502"/>
      <c r="F65" s="502"/>
      <c r="G65" s="502"/>
      <c r="H65" s="505">
        <f>CEILING(H64/100,0.05)</f>
        <v>271.60000000000002</v>
      </c>
      <c r="I65" s="502"/>
      <c r="J65" s="502"/>
      <c r="K65" s="502"/>
      <c r="L65" s="502"/>
      <c r="M65" s="502"/>
    </row>
  </sheetData>
  <mergeCells count="13">
    <mergeCell ref="O11:T11"/>
    <mergeCell ref="F12:G12"/>
    <mergeCell ref="G17:G18"/>
    <mergeCell ref="K37:L37"/>
    <mergeCell ref="C48:M48"/>
    <mergeCell ref="A1:M1"/>
    <mergeCell ref="A2:M2"/>
    <mergeCell ref="B8:G8"/>
    <mergeCell ref="C59:D59"/>
    <mergeCell ref="B20:H20"/>
    <mergeCell ref="B22:H22"/>
    <mergeCell ref="B28:G28"/>
    <mergeCell ref="H31:H32"/>
  </mergeCells>
  <pageMargins left="0.7" right="0.7" top="0.75" bottom="0.75" header="0.3" footer="0.3"/>
  <pageSetup paperSize="9" scale="61" orientation="portrait" horizontalDpi="300" verticalDpi="300" r:id="rId1"/>
</worksheet>
</file>

<file path=xl/worksheets/sheet3.xml><?xml version="1.0" encoding="utf-8"?>
<worksheet xmlns="http://schemas.openxmlformats.org/spreadsheetml/2006/main" xmlns:r="http://schemas.openxmlformats.org/officeDocument/2006/relationships">
  <dimension ref="A1:I779"/>
  <sheetViews>
    <sheetView zoomScale="112" zoomScaleNormal="112" zoomScaleSheetLayoutView="75" workbookViewId="0">
      <pane ySplit="5" topLeftCell="A439" activePane="bottomLeft" state="frozen"/>
      <selection pane="bottomLeft" activeCell="F441" sqref="F441"/>
    </sheetView>
  </sheetViews>
  <sheetFormatPr defaultColWidth="13.85546875" defaultRowHeight="12.75"/>
  <cols>
    <col min="1" max="1" width="12.85546875" style="208" customWidth="1"/>
    <col min="2" max="2" width="5.28515625" style="140" customWidth="1"/>
    <col min="3" max="3" width="42.5703125" style="211" customWidth="1"/>
    <col min="4" max="4" width="5.28515625" style="207" customWidth="1"/>
    <col min="5" max="5" width="10.5703125" style="138" customWidth="1"/>
    <col min="6" max="6" width="9.140625" style="122" customWidth="1"/>
    <col min="7" max="7" width="11.7109375" style="122" customWidth="1"/>
    <col min="8" max="16384" width="13.85546875" style="141"/>
  </cols>
  <sheetData>
    <row r="1" spans="1:7" ht="12.75" customHeight="1">
      <c r="A1" s="1457" t="s">
        <v>173</v>
      </c>
      <c r="B1" s="1457"/>
      <c r="C1" s="1457"/>
      <c r="D1" s="1457"/>
      <c r="E1" s="1457"/>
      <c r="F1" s="1457"/>
      <c r="G1" s="1457"/>
    </row>
    <row r="2" spans="1:7" ht="36" customHeight="1">
      <c r="A2" s="1458" t="str">
        <f>Lead!A1</f>
        <v>Providing UGD system in Kokapet</v>
      </c>
      <c r="B2" s="1458"/>
      <c r="C2" s="1458"/>
      <c r="D2" s="1458"/>
      <c r="E2" s="1458"/>
      <c r="F2" s="1458"/>
      <c r="G2" s="1458"/>
    </row>
    <row r="3" spans="1:7" ht="18" customHeight="1">
      <c r="A3" s="1459" t="s">
        <v>642</v>
      </c>
      <c r="B3" s="1459"/>
      <c r="C3" s="1459"/>
      <c r="D3" s="1459"/>
      <c r="E3" s="1459"/>
      <c r="F3" s="1459"/>
      <c r="G3" s="1459"/>
    </row>
    <row r="4" spans="1:7" s="142" customFormat="1" ht="22.5" customHeight="1">
      <c r="A4" s="242" t="s">
        <v>45</v>
      </c>
      <c r="B4" s="243" t="s">
        <v>46</v>
      </c>
      <c r="C4" s="242" t="s">
        <v>100</v>
      </c>
      <c r="D4" s="242" t="s">
        <v>9</v>
      </c>
      <c r="E4" s="244" t="s">
        <v>97</v>
      </c>
      <c r="F4" s="245" t="s">
        <v>47</v>
      </c>
      <c r="G4" s="245" t="s">
        <v>48</v>
      </c>
    </row>
    <row r="5" spans="1:7" s="143" customFormat="1" ht="11.25" customHeight="1">
      <c r="A5" s="246"/>
      <c r="B5" s="247">
        <v>1</v>
      </c>
      <c r="C5" s="247">
        <v>2</v>
      </c>
      <c r="D5" s="247">
        <v>3</v>
      </c>
      <c r="E5" s="247">
        <v>4</v>
      </c>
      <c r="F5" s="248">
        <v>5</v>
      </c>
      <c r="G5" s="248">
        <v>6</v>
      </c>
    </row>
    <row r="6" spans="1:7" s="143" customFormat="1" ht="108.75" hidden="1" customHeight="1">
      <c r="A6" s="235" t="s">
        <v>84</v>
      </c>
      <c r="B6" s="236">
        <v>1</v>
      </c>
      <c r="C6" s="237" t="s">
        <v>341</v>
      </c>
      <c r="D6" s="238"/>
      <c r="E6" s="239"/>
      <c r="F6" s="240"/>
      <c r="G6" s="241"/>
    </row>
    <row r="7" spans="1:7" s="143" customFormat="1" hidden="1">
      <c r="A7" s="148" t="s">
        <v>295</v>
      </c>
      <c r="B7" s="145"/>
      <c r="C7" s="149" t="s">
        <v>111</v>
      </c>
      <c r="D7" s="150"/>
      <c r="E7" s="124"/>
      <c r="F7" s="88"/>
      <c r="G7" s="90"/>
    </row>
    <row r="8" spans="1:7" s="143" customFormat="1" hidden="1">
      <c r="A8" s="148"/>
      <c r="B8" s="145"/>
      <c r="C8" s="149" t="s">
        <v>112</v>
      </c>
      <c r="D8" s="150"/>
      <c r="E8" s="123"/>
      <c r="F8" s="88"/>
      <c r="G8" s="90"/>
    </row>
    <row r="9" spans="1:7" s="143" customFormat="1" hidden="1">
      <c r="A9" s="148"/>
      <c r="B9" s="145"/>
      <c r="C9" s="149" t="s">
        <v>113</v>
      </c>
      <c r="D9" s="150"/>
      <c r="E9" s="123"/>
      <c r="F9" s="88"/>
      <c r="G9" s="90"/>
    </row>
    <row r="10" spans="1:7" s="143" customFormat="1" hidden="1">
      <c r="A10" s="148"/>
      <c r="B10" s="145"/>
      <c r="C10" s="149" t="s">
        <v>114</v>
      </c>
      <c r="D10" s="150" t="s">
        <v>55</v>
      </c>
      <c r="E10" s="123">
        <v>3.64</v>
      </c>
      <c r="F10" s="88">
        <f>Lead!R24</f>
        <v>445</v>
      </c>
      <c r="G10" s="90">
        <f>ROUND(F10*E10,2)</f>
        <v>1619.8</v>
      </c>
    </row>
    <row r="11" spans="1:7" s="143" customFormat="1" hidden="1">
      <c r="A11" s="148"/>
      <c r="B11" s="145"/>
      <c r="C11" s="149" t="s">
        <v>115</v>
      </c>
      <c r="D11" s="150" t="s">
        <v>109</v>
      </c>
      <c r="E11" s="123">
        <v>0.75</v>
      </c>
      <c r="F11" s="88">
        <f>G10</f>
        <v>1619.8</v>
      </c>
      <c r="G11" s="90">
        <f>ROUND(F11*E11,2)</f>
        <v>1214.8499999999999</v>
      </c>
    </row>
    <row r="12" spans="1:7" s="154" customFormat="1" hidden="1">
      <c r="A12" s="151"/>
      <c r="B12" s="152"/>
      <c r="C12" s="153" t="s">
        <v>315</v>
      </c>
      <c r="D12" s="125"/>
      <c r="E12" s="125">
        <f>Lead!Q26</f>
        <v>0.4</v>
      </c>
      <c r="F12" s="91">
        <f>SUM(G10:G11)</f>
        <v>2834.6499999999996</v>
      </c>
      <c r="G12" s="92">
        <f>ROUND(F12*E12,2)</f>
        <v>1133.8599999999999</v>
      </c>
    </row>
    <row r="13" spans="1:7" s="143" customFormat="1" hidden="1">
      <c r="A13" s="148"/>
      <c r="B13" s="145"/>
      <c r="C13" s="149" t="s">
        <v>116</v>
      </c>
      <c r="D13" s="150"/>
      <c r="E13" s="123"/>
      <c r="F13" s="88"/>
      <c r="G13" s="90">
        <f>SUM(G10:G12)</f>
        <v>3968.5099999999993</v>
      </c>
    </row>
    <row r="14" spans="1:7" s="157" customFormat="1" ht="25.5" hidden="1">
      <c r="A14" s="155"/>
      <c r="B14" s="145"/>
      <c r="C14" s="146" t="s">
        <v>398</v>
      </c>
      <c r="D14" s="156"/>
      <c r="E14" s="123">
        <f>G13</f>
        <v>3968.5099999999993</v>
      </c>
      <c r="F14" s="271">
        <f>Lead!Q27</f>
        <v>0.13614999999999999</v>
      </c>
      <c r="G14" s="93">
        <f>ROUND(F14*E14,2)</f>
        <v>540.30999999999995</v>
      </c>
    </row>
    <row r="15" spans="1:7" s="154" customFormat="1" hidden="1">
      <c r="A15" s="151"/>
      <c r="B15" s="152"/>
      <c r="C15" s="146" t="s">
        <v>316</v>
      </c>
      <c r="D15" s="126"/>
      <c r="E15" s="126"/>
      <c r="F15" s="94"/>
      <c r="G15" s="95">
        <f>SUM(G13:G14)</f>
        <v>4508.82</v>
      </c>
    </row>
    <row r="16" spans="1:7" s="157" customFormat="1" hidden="1">
      <c r="A16" s="155"/>
      <c r="B16" s="145"/>
      <c r="C16" s="146" t="s">
        <v>117</v>
      </c>
      <c r="D16" s="156"/>
      <c r="E16" s="123"/>
      <c r="F16" s="88" t="s">
        <v>154</v>
      </c>
      <c r="G16" s="96">
        <f>G15/10</f>
        <v>450.88199999999995</v>
      </c>
    </row>
    <row r="17" spans="1:7" s="143" customFormat="1" ht="25.5" hidden="1">
      <c r="A17" s="144" t="s">
        <v>167</v>
      </c>
      <c r="B17" s="145">
        <v>1</v>
      </c>
      <c r="C17" s="146" t="s">
        <v>168</v>
      </c>
      <c r="D17" s="147"/>
      <c r="E17" s="123"/>
      <c r="F17" s="88"/>
      <c r="G17" s="89"/>
    </row>
    <row r="18" spans="1:7" s="143" customFormat="1" hidden="1">
      <c r="A18" s="148" t="s">
        <v>295</v>
      </c>
      <c r="B18" s="145"/>
      <c r="C18" s="149" t="s">
        <v>111</v>
      </c>
      <c r="D18" s="150"/>
      <c r="E18" s="123"/>
      <c r="F18" s="88"/>
      <c r="G18" s="90"/>
    </row>
    <row r="19" spans="1:7" s="143" customFormat="1" hidden="1">
      <c r="A19" s="148"/>
      <c r="B19" s="145"/>
      <c r="C19" s="149" t="s">
        <v>112</v>
      </c>
      <c r="D19" s="150"/>
      <c r="E19" s="123"/>
      <c r="F19" s="88"/>
      <c r="G19" s="90"/>
    </row>
    <row r="20" spans="1:7" s="143" customFormat="1" hidden="1">
      <c r="A20" s="148"/>
      <c r="B20" s="145"/>
      <c r="C20" s="149" t="s">
        <v>113</v>
      </c>
      <c r="D20" s="150"/>
      <c r="E20" s="123"/>
      <c r="F20" s="88"/>
      <c r="G20" s="90"/>
    </row>
    <row r="21" spans="1:7" s="143" customFormat="1" hidden="1">
      <c r="A21" s="148"/>
      <c r="B21" s="145"/>
      <c r="C21" s="149" t="s">
        <v>114</v>
      </c>
      <c r="D21" s="150" t="s">
        <v>55</v>
      </c>
      <c r="E21" s="123">
        <v>5.2</v>
      </c>
      <c r="F21" s="88">
        <f>Lead!R24</f>
        <v>445</v>
      </c>
      <c r="G21" s="90">
        <f>ROUND(F21*E21,2)</f>
        <v>2314</v>
      </c>
    </row>
    <row r="22" spans="1:7" s="143" customFormat="1" hidden="1">
      <c r="A22" s="148"/>
      <c r="B22" s="145"/>
      <c r="C22" s="149" t="s">
        <v>115</v>
      </c>
      <c r="D22" s="150" t="s">
        <v>109</v>
      </c>
      <c r="E22" s="123">
        <v>0.75</v>
      </c>
      <c r="F22" s="88">
        <f>G21</f>
        <v>2314</v>
      </c>
      <c r="G22" s="90">
        <f>ROUND(F22*E22,2)</f>
        <v>1735.5</v>
      </c>
    </row>
    <row r="23" spans="1:7" s="154" customFormat="1" hidden="1">
      <c r="A23" s="151"/>
      <c r="B23" s="152"/>
      <c r="C23" s="153" t="s">
        <v>315</v>
      </c>
      <c r="D23" s="125"/>
      <c r="E23" s="125">
        <f>Lead!Q26</f>
        <v>0.4</v>
      </c>
      <c r="F23" s="91">
        <f>SUM(G21:G22)</f>
        <v>4049.5</v>
      </c>
      <c r="G23" s="92">
        <f>ROUND(F23*E23,2)</f>
        <v>1619.8</v>
      </c>
    </row>
    <row r="24" spans="1:7" s="143" customFormat="1" hidden="1">
      <c r="A24" s="148"/>
      <c r="B24" s="145"/>
      <c r="C24" s="149" t="s">
        <v>116</v>
      </c>
      <c r="D24" s="150"/>
      <c r="E24" s="123"/>
      <c r="F24" s="88"/>
      <c r="G24" s="90">
        <f>SUM(G21:G23)</f>
        <v>5669.3</v>
      </c>
    </row>
    <row r="25" spans="1:7" s="157" customFormat="1" ht="25.5" hidden="1">
      <c r="A25" s="155"/>
      <c r="B25" s="145"/>
      <c r="C25" s="146" t="s">
        <v>398</v>
      </c>
      <c r="D25" s="156"/>
      <c r="E25" s="123">
        <f>G24</f>
        <v>5669.3</v>
      </c>
      <c r="F25" s="271">
        <f>Lead!Q27</f>
        <v>0.13614999999999999</v>
      </c>
      <c r="G25" s="93">
        <f>ROUND(F25*E25,2)</f>
        <v>771.88</v>
      </c>
    </row>
    <row r="26" spans="1:7" s="154" customFormat="1" hidden="1">
      <c r="A26" s="151"/>
      <c r="B26" s="152"/>
      <c r="C26" s="159" t="s">
        <v>317</v>
      </c>
      <c r="D26" s="126"/>
      <c r="E26" s="126"/>
      <c r="F26" s="94"/>
      <c r="G26" s="95">
        <f>SUM(G24:G25)</f>
        <v>6441.18</v>
      </c>
    </row>
    <row r="27" spans="1:7" s="157" customFormat="1" hidden="1">
      <c r="A27" s="155"/>
      <c r="B27" s="145"/>
      <c r="C27" s="146" t="s">
        <v>117</v>
      </c>
      <c r="D27" s="156"/>
      <c r="E27" s="123"/>
      <c r="F27" s="88" t="s">
        <v>154</v>
      </c>
      <c r="G27" s="96">
        <f>G26/10</f>
        <v>644.11800000000005</v>
      </c>
    </row>
    <row r="28" spans="1:7" s="143" customFormat="1" ht="75" hidden="1" customHeight="1">
      <c r="A28" s="235" t="s">
        <v>363</v>
      </c>
      <c r="B28" s="236">
        <v>1</v>
      </c>
      <c r="C28" s="237" t="s">
        <v>362</v>
      </c>
      <c r="D28" s="238"/>
      <c r="E28" s="239"/>
      <c r="F28" s="240"/>
      <c r="G28" s="241"/>
    </row>
    <row r="29" spans="1:7" s="143" customFormat="1" hidden="1">
      <c r="A29" s="148" t="s">
        <v>295</v>
      </c>
      <c r="B29" s="145"/>
      <c r="C29" s="149" t="s">
        <v>111</v>
      </c>
      <c r="D29" s="150"/>
      <c r="E29" s="124"/>
      <c r="F29" s="88"/>
      <c r="G29" s="90"/>
    </row>
    <row r="30" spans="1:7" s="143" customFormat="1" hidden="1">
      <c r="A30" s="148" t="s">
        <v>295</v>
      </c>
      <c r="B30" s="145"/>
      <c r="C30" s="149" t="s">
        <v>111</v>
      </c>
      <c r="D30" s="150"/>
      <c r="E30" s="124"/>
      <c r="F30" s="88"/>
      <c r="G30" s="90"/>
    </row>
    <row r="31" spans="1:7" s="143" customFormat="1" hidden="1">
      <c r="A31" s="148"/>
      <c r="B31" s="145"/>
      <c r="C31" s="149" t="s">
        <v>56</v>
      </c>
      <c r="D31" s="150"/>
      <c r="E31" s="123"/>
      <c r="F31" s="88"/>
      <c r="G31" s="90"/>
    </row>
    <row r="32" spans="1:7" s="143" customFormat="1" hidden="1">
      <c r="A32" s="148"/>
      <c r="B32" s="145"/>
      <c r="C32" s="149" t="s">
        <v>113</v>
      </c>
      <c r="D32" s="150"/>
      <c r="E32" s="123"/>
      <c r="F32" s="88"/>
      <c r="G32" s="90"/>
    </row>
    <row r="33" spans="1:7" s="143" customFormat="1" hidden="1">
      <c r="A33" s="148"/>
      <c r="B33" s="145"/>
      <c r="C33" s="149" t="s">
        <v>114</v>
      </c>
      <c r="D33" s="150" t="s">
        <v>366</v>
      </c>
      <c r="E33" s="123">
        <v>1.1000000000000001</v>
      </c>
      <c r="F33" s="88">
        <f>Lead!R24</f>
        <v>445</v>
      </c>
      <c r="G33" s="90">
        <f>ROUND(F33*E33,2)</f>
        <v>489.5</v>
      </c>
    </row>
    <row r="34" spans="1:7" s="143" customFormat="1" hidden="1">
      <c r="A34" s="148"/>
      <c r="B34" s="145"/>
      <c r="C34" s="149" t="s">
        <v>364</v>
      </c>
      <c r="D34" s="150" t="s">
        <v>366</v>
      </c>
      <c r="E34" s="123">
        <v>1.5</v>
      </c>
      <c r="F34" s="88">
        <f>Lead!R26</f>
        <v>0</v>
      </c>
      <c r="G34" s="90">
        <f>ROUND(F34*E34,2)</f>
        <v>0</v>
      </c>
    </row>
    <row r="35" spans="1:7" s="143" customFormat="1" hidden="1">
      <c r="A35" s="148"/>
      <c r="B35" s="145"/>
      <c r="C35" s="149" t="s">
        <v>365</v>
      </c>
      <c r="D35" s="150" t="s">
        <v>366</v>
      </c>
      <c r="E35" s="123">
        <v>0.06</v>
      </c>
      <c r="F35" s="88">
        <f>Lead!R26</f>
        <v>0</v>
      </c>
      <c r="G35" s="90">
        <f>ROUND(F35*E35,2)</f>
        <v>0</v>
      </c>
    </row>
    <row r="36" spans="1:7" s="154" customFormat="1" hidden="1">
      <c r="A36" s="151"/>
      <c r="B36" s="152"/>
      <c r="C36" s="153" t="s">
        <v>315</v>
      </c>
      <c r="D36" s="125"/>
      <c r="E36" s="125">
        <f>Lead!Q26</f>
        <v>0.4</v>
      </c>
      <c r="F36" s="91">
        <f>SUM(G33:G35)</f>
        <v>489.5</v>
      </c>
      <c r="G36" s="92">
        <f>ROUND(F36*E36,2)</f>
        <v>195.8</v>
      </c>
    </row>
    <row r="37" spans="1:7" s="143" customFormat="1" hidden="1">
      <c r="A37" s="148"/>
      <c r="B37" s="145"/>
      <c r="C37" s="149" t="s">
        <v>367</v>
      </c>
      <c r="D37" s="150"/>
      <c r="E37" s="123"/>
      <c r="F37" s="88"/>
      <c r="G37" s="90"/>
    </row>
    <row r="38" spans="1:7" s="143" customFormat="1" hidden="1">
      <c r="A38" s="148"/>
      <c r="B38" s="145"/>
      <c r="C38" s="149" t="s">
        <v>368</v>
      </c>
      <c r="D38" s="150" t="s">
        <v>366</v>
      </c>
      <c r="E38" s="123">
        <v>0.18</v>
      </c>
      <c r="F38" s="88">
        <v>924.1</v>
      </c>
      <c r="G38" s="90">
        <f>ROUND(F38*E38,2)</f>
        <v>166.34</v>
      </c>
    </row>
    <row r="39" spans="1:7" s="143" customFormat="1" ht="25.5" hidden="1">
      <c r="A39" s="155" t="s">
        <v>399</v>
      </c>
      <c r="B39" s="145"/>
      <c r="C39" s="149" t="s">
        <v>369</v>
      </c>
      <c r="D39" s="150" t="s">
        <v>366</v>
      </c>
      <c r="E39" s="123">
        <v>0.5</v>
      </c>
      <c r="F39" s="88">
        <v>194</v>
      </c>
      <c r="G39" s="90">
        <f>-ROUND(F39*E39,2)</f>
        <v>-97</v>
      </c>
    </row>
    <row r="40" spans="1:7" s="154" customFormat="1" hidden="1">
      <c r="A40" s="151"/>
      <c r="B40" s="152"/>
      <c r="C40" s="153" t="s">
        <v>315</v>
      </c>
      <c r="D40" s="125"/>
      <c r="E40" s="125">
        <f>Lead!$Q$27</f>
        <v>0.13614999999999999</v>
      </c>
      <c r="F40" s="91">
        <f>SUM(G33:G35)</f>
        <v>489.5</v>
      </c>
      <c r="G40" s="92">
        <f>ROUND(F40*E40,2)</f>
        <v>66.650000000000006</v>
      </c>
    </row>
    <row r="41" spans="1:7" s="143" customFormat="1" hidden="1">
      <c r="A41" s="148"/>
      <c r="B41" s="145"/>
      <c r="C41" s="149" t="s">
        <v>116</v>
      </c>
      <c r="D41" s="150"/>
      <c r="E41" s="123"/>
      <c r="F41" s="88"/>
      <c r="G41" s="90">
        <f>SUM(G33:G40)</f>
        <v>821.29</v>
      </c>
    </row>
    <row r="42" spans="1:7" s="157" customFormat="1" ht="25.5" hidden="1">
      <c r="A42" s="155"/>
      <c r="B42" s="145"/>
      <c r="C42" s="146" t="s">
        <v>398</v>
      </c>
      <c r="D42" s="156"/>
      <c r="E42" s="123">
        <f>G41</f>
        <v>821.29</v>
      </c>
      <c r="F42" s="271">
        <f>Lead!$Q$27</f>
        <v>0.13614999999999999</v>
      </c>
      <c r="G42" s="93">
        <f>ROUND(F42*E42,2)</f>
        <v>111.82</v>
      </c>
    </row>
    <row r="43" spans="1:7" s="154" customFormat="1" hidden="1">
      <c r="A43" s="151"/>
      <c r="B43" s="152"/>
      <c r="C43" s="146" t="s">
        <v>316</v>
      </c>
      <c r="D43" s="126"/>
      <c r="E43" s="126"/>
      <c r="F43" s="94"/>
      <c r="G43" s="95">
        <f>SUM(G41:G42)</f>
        <v>933.1099999999999</v>
      </c>
    </row>
    <row r="44" spans="1:7" s="157" customFormat="1" hidden="1">
      <c r="A44" s="155"/>
      <c r="B44" s="145"/>
      <c r="C44" s="146" t="s">
        <v>117</v>
      </c>
      <c r="D44" s="156"/>
      <c r="E44" s="123"/>
      <c r="F44" s="88" t="s">
        <v>154</v>
      </c>
      <c r="G44" s="96">
        <f>G43/1</f>
        <v>933.1099999999999</v>
      </c>
    </row>
    <row r="45" spans="1:7" s="157" customFormat="1" ht="24" hidden="1">
      <c r="A45" s="250">
        <v>9</v>
      </c>
      <c r="B45" s="71" t="s">
        <v>177</v>
      </c>
      <c r="C45" s="251" t="s">
        <v>370</v>
      </c>
      <c r="D45" s="252"/>
      <c r="E45" s="253"/>
      <c r="F45" s="88"/>
      <c r="G45" s="119"/>
    </row>
    <row r="46" spans="1:7" s="157" customFormat="1" ht="84" hidden="1">
      <c r="A46" s="250"/>
      <c r="B46" s="71"/>
      <c r="C46" s="254" t="s">
        <v>371</v>
      </c>
      <c r="D46" s="255"/>
      <c r="E46" s="253"/>
      <c r="F46" s="88"/>
      <c r="G46" s="119"/>
    </row>
    <row r="47" spans="1:7" s="157" customFormat="1" hidden="1">
      <c r="A47" s="250"/>
      <c r="B47" s="71"/>
      <c r="C47" s="254" t="s">
        <v>372</v>
      </c>
      <c r="D47" s="256"/>
      <c r="E47" s="253"/>
      <c r="F47" s="88"/>
      <c r="G47" s="119"/>
    </row>
    <row r="48" spans="1:7" s="157" customFormat="1" hidden="1">
      <c r="A48" s="250"/>
      <c r="B48" s="71"/>
      <c r="C48" s="254" t="s">
        <v>373</v>
      </c>
      <c r="D48" s="256"/>
      <c r="E48" s="257"/>
      <c r="F48" s="88"/>
      <c r="G48" s="119"/>
    </row>
    <row r="49" spans="1:7" s="157" customFormat="1" hidden="1">
      <c r="A49" s="250"/>
      <c r="B49" s="71"/>
      <c r="C49" s="251" t="s">
        <v>374</v>
      </c>
      <c r="D49" s="255"/>
      <c r="E49" s="253"/>
      <c r="F49" s="88"/>
      <c r="G49" s="119"/>
    </row>
    <row r="50" spans="1:7" s="157" customFormat="1" hidden="1">
      <c r="A50" s="250"/>
      <c r="B50" s="71"/>
      <c r="C50" s="254" t="s">
        <v>375</v>
      </c>
      <c r="D50" s="256" t="s">
        <v>18</v>
      </c>
      <c r="E50" s="253" t="s">
        <v>108</v>
      </c>
      <c r="F50" s="88"/>
      <c r="G50" s="119"/>
    </row>
    <row r="51" spans="1:7" s="157" customFormat="1" hidden="1">
      <c r="A51" s="250"/>
      <c r="B51" s="71"/>
      <c r="C51" s="254" t="s">
        <v>376</v>
      </c>
      <c r="D51" s="256" t="s">
        <v>18</v>
      </c>
      <c r="E51" s="253">
        <v>3.22</v>
      </c>
      <c r="F51" s="88">
        <f>Lead!R24</f>
        <v>445</v>
      </c>
      <c r="G51" s="90">
        <f>ROUND(F51*E51,2)</f>
        <v>1432.9</v>
      </c>
    </row>
    <row r="52" spans="1:7" s="157" customFormat="1" hidden="1">
      <c r="A52" s="250"/>
      <c r="B52" s="71"/>
      <c r="C52" s="254" t="s">
        <v>377</v>
      </c>
      <c r="D52" s="256" t="s">
        <v>18</v>
      </c>
      <c r="E52" s="256">
        <v>2</v>
      </c>
      <c r="F52" s="88">
        <f>Lead!R37</f>
        <v>0</v>
      </c>
      <c r="G52" s="90">
        <f>ROUND(F52*E52,2)</f>
        <v>0</v>
      </c>
    </row>
    <row r="53" spans="1:7" s="157" customFormat="1" hidden="1">
      <c r="A53" s="250"/>
      <c r="B53" s="71"/>
      <c r="C53" s="254" t="s">
        <v>378</v>
      </c>
      <c r="D53" s="256" t="s">
        <v>18</v>
      </c>
      <c r="E53" s="256">
        <v>0.25</v>
      </c>
      <c r="F53" s="88">
        <f>Lead!R37</f>
        <v>0</v>
      </c>
      <c r="G53" s="90">
        <f>ROUND(F53*E53,2)</f>
        <v>0</v>
      </c>
    </row>
    <row r="54" spans="1:7" s="154" customFormat="1" hidden="1">
      <c r="A54" s="151"/>
      <c r="B54" s="152"/>
      <c r="C54" s="153" t="s">
        <v>315</v>
      </c>
      <c r="D54" s="125"/>
      <c r="E54" s="125">
        <f>Lead!Q26</f>
        <v>0.4</v>
      </c>
      <c r="F54" s="91">
        <f>SUM(G51:G53)</f>
        <v>1432.9</v>
      </c>
      <c r="G54" s="92">
        <f>ROUND(F54*E54,2)</f>
        <v>573.16</v>
      </c>
    </row>
    <row r="55" spans="1:7" s="157" customFormat="1" hidden="1">
      <c r="A55" s="250"/>
      <c r="B55" s="71"/>
      <c r="C55" s="251" t="s">
        <v>379</v>
      </c>
      <c r="D55" s="256"/>
      <c r="E55" s="256"/>
      <c r="F55" s="88"/>
      <c r="G55" s="90"/>
    </row>
    <row r="56" spans="1:7" s="157" customFormat="1" hidden="1">
      <c r="A56" s="250"/>
      <c r="B56" s="71"/>
      <c r="C56" s="254" t="s">
        <v>380</v>
      </c>
      <c r="D56" s="256" t="s">
        <v>89</v>
      </c>
      <c r="E56" s="256">
        <v>6</v>
      </c>
      <c r="F56" s="88">
        <v>1570</v>
      </c>
      <c r="G56" s="90">
        <f>ROUND(F56*E56,2)</f>
        <v>9420</v>
      </c>
    </row>
    <row r="57" spans="1:7" s="157" customFormat="1" hidden="1">
      <c r="A57" s="250"/>
      <c r="B57" s="71"/>
      <c r="C57" s="254" t="s">
        <v>390</v>
      </c>
      <c r="D57" s="256" t="s">
        <v>89</v>
      </c>
      <c r="E57" s="256">
        <v>6</v>
      </c>
      <c r="F57" s="88">
        <v>521.20000000000005</v>
      </c>
      <c r="G57" s="90">
        <f>ROUND(F57*E57,2)</f>
        <v>3127.2</v>
      </c>
    </row>
    <row r="58" spans="1:7" s="157" customFormat="1" hidden="1">
      <c r="A58" s="250"/>
      <c r="B58" s="71"/>
      <c r="C58" s="254" t="s">
        <v>389</v>
      </c>
      <c r="D58" s="256" t="s">
        <v>89</v>
      </c>
      <c r="E58" s="256">
        <v>12</v>
      </c>
      <c r="F58" s="88">
        <v>349</v>
      </c>
      <c r="G58" s="90">
        <f>ROUND(F58*E58,2)</f>
        <v>4188</v>
      </c>
    </row>
    <row r="59" spans="1:7" s="157" customFormat="1" ht="24" hidden="1">
      <c r="A59" s="250"/>
      <c r="B59" s="71"/>
      <c r="C59" s="254" t="s">
        <v>381</v>
      </c>
      <c r="D59" s="256" t="s">
        <v>89</v>
      </c>
      <c r="E59" s="256">
        <v>6</v>
      </c>
      <c r="F59" s="88">
        <v>1646</v>
      </c>
      <c r="G59" s="90">
        <f>ROUND(F59*E59,2)</f>
        <v>9876</v>
      </c>
    </row>
    <row r="60" spans="1:7" s="157" customFormat="1" hidden="1">
      <c r="A60" s="250"/>
      <c r="B60" s="71"/>
      <c r="C60" s="254" t="s">
        <v>382</v>
      </c>
      <c r="D60" s="256" t="s">
        <v>89</v>
      </c>
      <c r="E60" s="256">
        <v>16</v>
      </c>
      <c r="F60" s="88">
        <v>924.1</v>
      </c>
      <c r="G60" s="90">
        <f>ROUND(F60*E60,2)</f>
        <v>14785.6</v>
      </c>
    </row>
    <row r="61" spans="1:7" s="157" customFormat="1" hidden="1">
      <c r="A61" s="250"/>
      <c r="B61" s="71"/>
      <c r="C61" s="251" t="s">
        <v>383</v>
      </c>
      <c r="D61" s="256"/>
      <c r="E61" s="253"/>
      <c r="F61" s="88"/>
      <c r="G61" s="90"/>
    </row>
    <row r="62" spans="1:7" s="157" customFormat="1" hidden="1">
      <c r="A62" s="250"/>
      <c r="B62" s="71"/>
      <c r="C62" s="254" t="s">
        <v>401</v>
      </c>
      <c r="D62" s="256" t="s">
        <v>91</v>
      </c>
      <c r="E62" s="256">
        <v>70</v>
      </c>
      <c r="F62" s="88">
        <v>73</v>
      </c>
      <c r="G62" s="90">
        <f>ROUND(F62*E62,2)</f>
        <v>5110</v>
      </c>
    </row>
    <row r="63" spans="1:7" s="157" customFormat="1" ht="24" hidden="1">
      <c r="A63" s="250"/>
      <c r="B63" s="71"/>
      <c r="C63" s="254" t="s">
        <v>384</v>
      </c>
      <c r="D63" s="256" t="s">
        <v>247</v>
      </c>
      <c r="E63" s="256">
        <v>252</v>
      </c>
      <c r="F63" s="88">
        <v>13</v>
      </c>
      <c r="G63" s="90">
        <f>ROUND(F63*E63,2)</f>
        <v>3276</v>
      </c>
    </row>
    <row r="64" spans="1:7" s="157" customFormat="1" ht="24" hidden="1">
      <c r="A64" s="250"/>
      <c r="B64" s="71"/>
      <c r="C64" s="254" t="s">
        <v>385</v>
      </c>
      <c r="D64" s="256" t="s">
        <v>290</v>
      </c>
      <c r="E64" s="256">
        <v>90</v>
      </c>
      <c r="F64" s="88">
        <v>-194</v>
      </c>
      <c r="G64" s="90">
        <f>ROUND(F64*E64,2)</f>
        <v>-17460</v>
      </c>
    </row>
    <row r="65" spans="1:7" s="157" customFormat="1" hidden="1">
      <c r="A65" s="258"/>
      <c r="B65" s="72"/>
      <c r="C65" s="73" t="s">
        <v>386</v>
      </c>
      <c r="D65" s="259"/>
      <c r="E65" s="272">
        <f>Lead!Q27</f>
        <v>0.13614999999999999</v>
      </c>
      <c r="F65" s="88">
        <f>SUM(G51:G64)</f>
        <v>34328.86</v>
      </c>
      <c r="G65" s="90">
        <f>ROUND(F65*E65,2)</f>
        <v>4673.87</v>
      </c>
    </row>
    <row r="66" spans="1:7" s="157" customFormat="1" hidden="1">
      <c r="A66" s="260"/>
      <c r="B66" s="261"/>
      <c r="C66" s="262" t="s">
        <v>387</v>
      </c>
      <c r="D66" s="263"/>
      <c r="E66" s="264"/>
      <c r="F66" s="88"/>
      <c r="G66" s="90">
        <f>SUM(G51:G65)</f>
        <v>39002.730000000003</v>
      </c>
    </row>
    <row r="67" spans="1:7" s="157" customFormat="1" hidden="1">
      <c r="A67" s="260"/>
      <c r="B67" s="261"/>
      <c r="C67" s="265" t="s">
        <v>388</v>
      </c>
      <c r="D67" s="263"/>
      <c r="E67" s="264"/>
      <c r="F67" s="88"/>
      <c r="G67" s="90">
        <f>ROUND(G66/180,2)</f>
        <v>216.68</v>
      </c>
    </row>
    <row r="68" spans="1:7" s="143" customFormat="1" ht="25.5" hidden="1">
      <c r="A68" s="144" t="s">
        <v>167</v>
      </c>
      <c r="B68" s="145">
        <v>1</v>
      </c>
      <c r="C68" s="146" t="s">
        <v>169</v>
      </c>
      <c r="D68" s="147"/>
      <c r="E68" s="123"/>
      <c r="F68" s="88"/>
      <c r="G68" s="89"/>
    </row>
    <row r="69" spans="1:7" s="143" customFormat="1" hidden="1">
      <c r="A69" s="148" t="s">
        <v>295</v>
      </c>
      <c r="B69" s="145"/>
      <c r="C69" s="149" t="s">
        <v>111</v>
      </c>
      <c r="D69" s="150"/>
      <c r="E69" s="123"/>
      <c r="F69" s="88"/>
      <c r="G69" s="90"/>
    </row>
    <row r="70" spans="1:7" s="143" customFormat="1" hidden="1">
      <c r="A70" s="148"/>
      <c r="B70" s="145"/>
      <c r="C70" s="149" t="s">
        <v>232</v>
      </c>
      <c r="D70" s="150"/>
      <c r="E70" s="123"/>
      <c r="F70" s="88"/>
      <c r="G70" s="90"/>
    </row>
    <row r="71" spans="1:7" s="143" customFormat="1" hidden="1">
      <c r="A71" s="148"/>
      <c r="B71" s="145"/>
      <c r="C71" s="149" t="s">
        <v>113</v>
      </c>
      <c r="D71" s="150"/>
      <c r="E71" s="123"/>
      <c r="F71" s="88"/>
      <c r="G71" s="90"/>
    </row>
    <row r="72" spans="1:7" s="143" customFormat="1" hidden="1">
      <c r="A72" s="148"/>
      <c r="B72" s="145"/>
      <c r="C72" s="149" t="s">
        <v>114</v>
      </c>
      <c r="D72" s="150" t="s">
        <v>55</v>
      </c>
      <c r="E72" s="123">
        <v>6.24</v>
      </c>
      <c r="F72" s="88">
        <f>Lead!R24</f>
        <v>445</v>
      </c>
      <c r="G72" s="90">
        <f>ROUND(F72*E72,2)</f>
        <v>2776.8</v>
      </c>
    </row>
    <row r="73" spans="1:7" s="154" customFormat="1" hidden="1">
      <c r="A73" s="151"/>
      <c r="B73" s="152"/>
      <c r="C73" s="153" t="s">
        <v>315</v>
      </c>
      <c r="D73" s="125"/>
      <c r="E73" s="125">
        <f>Lead!Q26</f>
        <v>0.4</v>
      </c>
      <c r="F73" s="91">
        <f>SUM(G71:G72)</f>
        <v>2776.8</v>
      </c>
      <c r="G73" s="92">
        <f>ROUND(F73*E73,2)</f>
        <v>1110.72</v>
      </c>
    </row>
    <row r="74" spans="1:7" s="143" customFormat="1" hidden="1">
      <c r="A74" s="148"/>
      <c r="B74" s="145"/>
      <c r="C74" s="149" t="s">
        <v>229</v>
      </c>
      <c r="D74" s="150"/>
      <c r="E74" s="123"/>
      <c r="F74" s="88"/>
      <c r="G74" s="90"/>
    </row>
    <row r="75" spans="1:7" s="143" customFormat="1" hidden="1">
      <c r="A75" s="148"/>
      <c r="B75" s="145"/>
      <c r="C75" s="149" t="s">
        <v>230</v>
      </c>
      <c r="D75" s="150" t="s">
        <v>231</v>
      </c>
      <c r="E75" s="123">
        <v>6</v>
      </c>
      <c r="F75" s="88">
        <v>2821.5</v>
      </c>
      <c r="G75" s="90">
        <f>ROUND(F75*E75,2)</f>
        <v>16929</v>
      </c>
    </row>
    <row r="76" spans="1:7" s="143" customFormat="1" hidden="1">
      <c r="A76" s="148"/>
      <c r="B76" s="145"/>
      <c r="C76" s="149" t="s">
        <v>115</v>
      </c>
      <c r="D76" s="150" t="s">
        <v>109</v>
      </c>
      <c r="E76" s="123">
        <v>0.75</v>
      </c>
      <c r="F76" s="88">
        <f>G72</f>
        <v>2776.8</v>
      </c>
      <c r="G76" s="90">
        <f>ROUND(F76*E76,2)</f>
        <v>2082.6</v>
      </c>
    </row>
    <row r="77" spans="1:7" s="143" customFormat="1" hidden="1">
      <c r="A77" s="148"/>
      <c r="B77" s="145"/>
      <c r="C77" s="149" t="s">
        <v>116</v>
      </c>
      <c r="D77" s="150"/>
      <c r="E77" s="123"/>
      <c r="F77" s="88"/>
      <c r="G77" s="90">
        <f>SUM(G72:G76)</f>
        <v>22899.119999999999</v>
      </c>
    </row>
    <row r="78" spans="1:7" s="157" customFormat="1" ht="25.5" hidden="1">
      <c r="A78" s="155"/>
      <c r="B78" s="145"/>
      <c r="C78" s="146" t="s">
        <v>398</v>
      </c>
      <c r="D78" s="156"/>
      <c r="E78" s="123">
        <f>G77</f>
        <v>22899.119999999999</v>
      </c>
      <c r="F78" s="271">
        <f>Lead!Q27</f>
        <v>0.13614999999999999</v>
      </c>
      <c r="G78" s="93">
        <f>ROUND(F78*E78,2)</f>
        <v>3117.72</v>
      </c>
    </row>
    <row r="79" spans="1:7" s="157" customFormat="1" hidden="1">
      <c r="A79" s="155"/>
      <c r="B79" s="145"/>
      <c r="C79" s="146" t="s">
        <v>233</v>
      </c>
      <c r="D79" s="156"/>
      <c r="E79" s="123"/>
      <c r="F79" s="88"/>
      <c r="G79" s="93">
        <f>SUM(G77:G78)</f>
        <v>26016.84</v>
      </c>
    </row>
    <row r="80" spans="1:7" s="157" customFormat="1" hidden="1">
      <c r="A80" s="155"/>
      <c r="B80" s="145"/>
      <c r="C80" s="146" t="s">
        <v>117</v>
      </c>
      <c r="D80" s="156"/>
      <c r="E80" s="123"/>
      <c r="F80" s="88" t="s">
        <v>154</v>
      </c>
      <c r="G80" s="96">
        <f>G79/180</f>
        <v>144.53800000000001</v>
      </c>
    </row>
    <row r="81" spans="1:9" s="143" customFormat="1" ht="29.25" hidden="1">
      <c r="A81" s="144" t="s">
        <v>356</v>
      </c>
      <c r="B81" s="145">
        <v>1</v>
      </c>
      <c r="C81" s="146" t="s">
        <v>392</v>
      </c>
      <c r="D81" s="147"/>
      <c r="E81" s="123"/>
      <c r="F81" s="88"/>
      <c r="G81" s="89"/>
    </row>
    <row r="82" spans="1:9" s="143" customFormat="1" hidden="1">
      <c r="A82" s="148" t="s">
        <v>295</v>
      </c>
      <c r="B82" s="145"/>
      <c r="C82" s="149" t="s">
        <v>111</v>
      </c>
      <c r="D82" s="150"/>
      <c r="E82" s="123"/>
      <c r="F82" s="88"/>
      <c r="G82" s="90"/>
    </row>
    <row r="83" spans="1:9" s="143" customFormat="1" ht="25.5" hidden="1">
      <c r="A83" s="148"/>
      <c r="B83" s="145"/>
      <c r="C83" s="149" t="s">
        <v>357</v>
      </c>
      <c r="D83" s="150"/>
      <c r="E83" s="123"/>
      <c r="F83" s="88"/>
      <c r="G83" s="90"/>
    </row>
    <row r="84" spans="1:9" s="143" customFormat="1" hidden="1">
      <c r="A84" s="148"/>
      <c r="B84" s="145"/>
      <c r="C84" s="149" t="s">
        <v>113</v>
      </c>
      <c r="D84" s="150"/>
      <c r="E84" s="123"/>
      <c r="F84" s="88"/>
      <c r="G84" s="90"/>
    </row>
    <row r="85" spans="1:9" s="143" customFormat="1" hidden="1">
      <c r="A85" s="148"/>
      <c r="B85" s="145"/>
      <c r="C85" s="149" t="s">
        <v>114</v>
      </c>
      <c r="D85" s="150" t="s">
        <v>18</v>
      </c>
      <c r="E85" s="123">
        <v>60</v>
      </c>
      <c r="F85" s="88">
        <f>Lead!R24</f>
        <v>445</v>
      </c>
      <c r="G85" s="90">
        <f>ROUND(F85*E85,2)</f>
        <v>26700</v>
      </c>
    </row>
    <row r="86" spans="1:9" s="154" customFormat="1" hidden="1">
      <c r="A86" s="151"/>
      <c r="B86" s="152"/>
      <c r="C86" s="153" t="s">
        <v>315</v>
      </c>
      <c r="D86" s="125"/>
      <c r="E86" s="125">
        <f>Lead!Q26</f>
        <v>0.4</v>
      </c>
      <c r="F86" s="91">
        <f>SUM(G84:G85)</f>
        <v>26700</v>
      </c>
      <c r="G86" s="92">
        <f>ROUND(F86*E86,2)</f>
        <v>10680</v>
      </c>
    </row>
    <row r="87" spans="1:9" s="143" customFormat="1" hidden="1">
      <c r="A87" s="148"/>
      <c r="B87" s="145"/>
      <c r="C87" s="149" t="s">
        <v>229</v>
      </c>
      <c r="D87" s="150"/>
      <c r="E87" s="123"/>
      <c r="F87" s="88"/>
      <c r="G87" s="90"/>
    </row>
    <row r="88" spans="1:9" s="143" customFormat="1" hidden="1">
      <c r="A88" s="148"/>
      <c r="B88" s="145"/>
      <c r="C88" s="149" t="s">
        <v>422</v>
      </c>
      <c r="D88" s="150" t="s">
        <v>360</v>
      </c>
      <c r="E88" s="123">
        <v>342</v>
      </c>
      <c r="F88" s="88">
        <v>49</v>
      </c>
      <c r="G88" s="90">
        <f>ROUND(F88*E88,2)</f>
        <v>16758</v>
      </c>
      <c r="H88" s="143" t="s">
        <v>423</v>
      </c>
      <c r="I88" s="143">
        <f>247*0.2</f>
        <v>49.400000000000006</v>
      </c>
    </row>
    <row r="89" spans="1:9" s="143" customFormat="1" hidden="1">
      <c r="A89" s="266" t="s">
        <v>391</v>
      </c>
      <c r="B89" s="145"/>
      <c r="C89" s="149" t="s">
        <v>358</v>
      </c>
      <c r="D89" s="150" t="s">
        <v>361</v>
      </c>
      <c r="E89" s="123">
        <v>3</v>
      </c>
      <c r="F89" s="88">
        <v>750</v>
      </c>
      <c r="G89" s="90">
        <f>ROUND(F89*E89,2)</f>
        <v>2250</v>
      </c>
      <c r="I89" s="266"/>
    </row>
    <row r="90" spans="1:9" s="143" customFormat="1" hidden="1">
      <c r="A90" s="266" t="s">
        <v>391</v>
      </c>
      <c r="B90" s="145"/>
      <c r="C90" s="149" t="s">
        <v>359</v>
      </c>
      <c r="D90" s="150" t="s">
        <v>360</v>
      </c>
      <c r="E90" s="123">
        <v>10</v>
      </c>
      <c r="F90" s="88">
        <v>75</v>
      </c>
      <c r="G90" s="90">
        <f>ROUND(F90*E90,2)</f>
        <v>750</v>
      </c>
      <c r="I90" s="266"/>
    </row>
    <row r="91" spans="1:9" s="143" customFormat="1" hidden="1">
      <c r="B91" s="145"/>
      <c r="C91" s="149" t="s">
        <v>116</v>
      </c>
      <c r="D91" s="150"/>
      <c r="E91" s="123"/>
      <c r="F91" s="88"/>
      <c r="G91" s="90">
        <f>SUM(G85:G90)</f>
        <v>57138</v>
      </c>
    </row>
    <row r="92" spans="1:9" s="157" customFormat="1" ht="25.5" hidden="1">
      <c r="A92" s="155"/>
      <c r="B92" s="145"/>
      <c r="C92" s="146" t="s">
        <v>398</v>
      </c>
      <c r="D92" s="156"/>
      <c r="E92" s="277">
        <f>Lead!Q27</f>
        <v>0.13614999999999999</v>
      </c>
      <c r="F92" s="88">
        <f>G91</f>
        <v>57138</v>
      </c>
      <c r="G92" s="93">
        <f>ROUND(F92*E92,2)</f>
        <v>7779.34</v>
      </c>
    </row>
    <row r="93" spans="1:9" s="157" customFormat="1" hidden="1">
      <c r="A93" s="155"/>
      <c r="B93" s="145"/>
      <c r="C93" s="146" t="s">
        <v>233</v>
      </c>
      <c r="D93" s="156"/>
      <c r="E93" s="123"/>
      <c r="F93" s="88"/>
      <c r="G93" s="93">
        <f>SUM(G91:G92)</f>
        <v>64917.34</v>
      </c>
    </row>
    <row r="94" spans="1:9" s="157" customFormat="1" hidden="1">
      <c r="A94" s="155"/>
      <c r="B94" s="145"/>
      <c r="C94" s="146" t="s">
        <v>117</v>
      </c>
      <c r="D94" s="156"/>
      <c r="E94" s="123"/>
      <c r="F94" s="88" t="s">
        <v>154</v>
      </c>
      <c r="G94" s="96">
        <f>G93/180</f>
        <v>360.65188888888889</v>
      </c>
    </row>
    <row r="95" spans="1:9" s="143" customFormat="1" ht="47.25" hidden="1" customHeight="1">
      <c r="A95" s="144"/>
      <c r="B95" s="145">
        <v>2</v>
      </c>
      <c r="C95" s="146" t="s">
        <v>234</v>
      </c>
      <c r="D95" s="147"/>
      <c r="E95" s="123"/>
      <c r="F95" s="88"/>
      <c r="G95" s="89"/>
    </row>
    <row r="96" spans="1:9" s="143" customFormat="1" ht="38.25" hidden="1">
      <c r="A96" s="155" t="s">
        <v>327</v>
      </c>
      <c r="B96" s="145"/>
      <c r="C96" s="149" t="s">
        <v>328</v>
      </c>
      <c r="D96" s="150">
        <v>10</v>
      </c>
      <c r="E96" s="123">
        <v>1</v>
      </c>
      <c r="F96" s="88">
        <v>902</v>
      </c>
      <c r="G96" s="90">
        <f>ROUND(F96*E96,2)</f>
        <v>902</v>
      </c>
    </row>
    <row r="97" spans="1:7" s="157" customFormat="1" ht="25.5" hidden="1">
      <c r="A97" s="155"/>
      <c r="B97" s="145"/>
      <c r="C97" s="146" t="s">
        <v>398</v>
      </c>
      <c r="D97" s="156"/>
      <c r="E97" s="123">
        <f>G96</f>
        <v>902</v>
      </c>
      <c r="F97" s="88">
        <f>Lead!Q27</f>
        <v>0.13614999999999999</v>
      </c>
      <c r="G97" s="93">
        <f>ROUND(F97*E97,2)</f>
        <v>122.81</v>
      </c>
    </row>
    <row r="98" spans="1:7" s="157" customFormat="1" hidden="1">
      <c r="A98" s="155"/>
      <c r="B98" s="145"/>
      <c r="C98" s="146" t="s">
        <v>296</v>
      </c>
      <c r="D98" s="156"/>
      <c r="E98" s="123"/>
      <c r="F98" s="88"/>
      <c r="G98" s="93">
        <f>SUM(G96:G97)</f>
        <v>1024.81</v>
      </c>
    </row>
    <row r="99" spans="1:7" s="157" customFormat="1" hidden="1">
      <c r="A99" s="155"/>
      <c r="B99" s="145"/>
      <c r="C99" s="146" t="s">
        <v>235</v>
      </c>
      <c r="D99" s="156"/>
      <c r="E99" s="123"/>
      <c r="F99" s="88" t="s">
        <v>154</v>
      </c>
      <c r="G99" s="93">
        <f>G98/10</f>
        <v>102.48099999999999</v>
      </c>
    </row>
    <row r="100" spans="1:7" s="143" customFormat="1" hidden="1">
      <c r="A100" s="155" t="s">
        <v>424</v>
      </c>
      <c r="B100" s="145"/>
      <c r="C100" s="146" t="s">
        <v>236</v>
      </c>
      <c r="D100" s="150">
        <v>1</v>
      </c>
      <c r="E100" s="123">
        <v>1</v>
      </c>
      <c r="F100" s="88">
        <v>1878</v>
      </c>
      <c r="G100" s="90">
        <f>ROUND(F100*E100,2)</f>
        <v>1878</v>
      </c>
    </row>
    <row r="101" spans="1:7" s="157" customFormat="1" ht="25.5" hidden="1">
      <c r="A101" s="155"/>
      <c r="B101" s="145"/>
      <c r="C101" s="146" t="s">
        <v>398</v>
      </c>
      <c r="D101" s="156"/>
      <c r="E101" s="123">
        <f>G100</f>
        <v>1878</v>
      </c>
      <c r="F101" s="271">
        <f>Lead!Q27</f>
        <v>0.13614999999999999</v>
      </c>
      <c r="G101" s="90">
        <f>ROUND(F101*E101,2)</f>
        <v>255.69</v>
      </c>
    </row>
    <row r="102" spans="1:7" s="157" customFormat="1" hidden="1">
      <c r="A102" s="155"/>
      <c r="B102" s="145"/>
      <c r="C102" s="146" t="s">
        <v>118</v>
      </c>
      <c r="D102" s="156"/>
      <c r="E102" s="123"/>
      <c r="F102" s="88" t="s">
        <v>154</v>
      </c>
      <c r="G102" s="96">
        <f>SUM(G100:G101)</f>
        <v>2133.69</v>
      </c>
    </row>
    <row r="103" spans="1:7" s="143" customFormat="1" ht="106.5" hidden="1" customHeight="1">
      <c r="A103" s="144" t="s">
        <v>155</v>
      </c>
      <c r="B103" s="145">
        <v>3</v>
      </c>
      <c r="C103" s="146" t="s">
        <v>342</v>
      </c>
      <c r="D103" s="150"/>
      <c r="E103" s="123"/>
      <c r="F103" s="88"/>
      <c r="G103" s="90"/>
    </row>
    <row r="104" spans="1:7" s="143" customFormat="1" hidden="1">
      <c r="A104" s="148" t="s">
        <v>295</v>
      </c>
      <c r="B104" s="145"/>
      <c r="C104" s="149" t="s">
        <v>111</v>
      </c>
      <c r="D104" s="150"/>
      <c r="E104" s="123"/>
      <c r="F104" s="88"/>
      <c r="G104" s="97"/>
    </row>
    <row r="105" spans="1:7" s="143" customFormat="1" hidden="1">
      <c r="A105" s="148"/>
      <c r="B105" s="145"/>
      <c r="C105" s="149" t="s">
        <v>57</v>
      </c>
      <c r="D105" s="150"/>
      <c r="E105" s="123"/>
      <c r="F105" s="88"/>
      <c r="G105" s="90"/>
    </row>
    <row r="106" spans="1:7" s="143" customFormat="1" hidden="1">
      <c r="A106" s="148"/>
      <c r="B106" s="145"/>
      <c r="C106" s="149" t="s">
        <v>113</v>
      </c>
      <c r="D106" s="150"/>
      <c r="E106" s="123"/>
      <c r="F106" s="88"/>
      <c r="G106" s="90"/>
    </row>
    <row r="107" spans="1:7" s="143" customFormat="1" hidden="1">
      <c r="A107" s="148"/>
      <c r="B107" s="145"/>
      <c r="C107" s="149" t="s">
        <v>114</v>
      </c>
      <c r="D107" s="150" t="s">
        <v>55</v>
      </c>
      <c r="E107" s="123">
        <v>0.31</v>
      </c>
      <c r="F107" s="88">
        <f>Lead!R24</f>
        <v>445</v>
      </c>
      <c r="G107" s="90">
        <f>ROUND(F107*E107,2)</f>
        <v>137.94999999999999</v>
      </c>
    </row>
    <row r="108" spans="1:7" s="154" customFormat="1" hidden="1">
      <c r="A108" s="151"/>
      <c r="B108" s="152"/>
      <c r="C108" s="153" t="s">
        <v>315</v>
      </c>
      <c r="D108" s="125"/>
      <c r="E108" s="125">
        <f>Lead!Q26</f>
        <v>0.4</v>
      </c>
      <c r="F108" s="91">
        <f>SUM(G106:G107)</f>
        <v>137.94999999999999</v>
      </c>
      <c r="G108" s="92">
        <f>ROUND(F108*E108,2)</f>
        <v>55.18</v>
      </c>
    </row>
    <row r="109" spans="1:7" s="143" customFormat="1" hidden="1">
      <c r="A109" s="148"/>
      <c r="B109" s="145"/>
      <c r="C109" s="149" t="s">
        <v>58</v>
      </c>
      <c r="D109" s="150" t="s">
        <v>109</v>
      </c>
      <c r="E109" s="123">
        <v>6</v>
      </c>
      <c r="F109" s="88">
        <f>Lead!R11</f>
        <v>2284.56</v>
      </c>
      <c r="G109" s="90">
        <f>ROUND(F109*E109,2)</f>
        <v>13707.36</v>
      </c>
    </row>
    <row r="110" spans="1:7" s="157" customFormat="1" hidden="1">
      <c r="A110" s="155"/>
      <c r="B110" s="145"/>
      <c r="C110" s="146"/>
      <c r="D110" s="156"/>
      <c r="E110" s="123"/>
      <c r="F110" s="88"/>
      <c r="G110" s="93">
        <f>SUM(G107:G109)</f>
        <v>13900.49</v>
      </c>
    </row>
    <row r="111" spans="1:7" s="157" customFormat="1" ht="25.5" hidden="1">
      <c r="A111" s="155"/>
      <c r="B111" s="145"/>
      <c r="C111" s="146" t="s">
        <v>398</v>
      </c>
      <c r="D111" s="156"/>
      <c r="E111" s="123">
        <f>G110</f>
        <v>13900.49</v>
      </c>
      <c r="F111" s="271">
        <f>Lead!Q27</f>
        <v>0.13614999999999999</v>
      </c>
      <c r="G111" s="93">
        <f>ROUND(F111*E111,2)</f>
        <v>1892.55</v>
      </c>
    </row>
    <row r="112" spans="1:7" s="154" customFormat="1" hidden="1">
      <c r="A112" s="151"/>
      <c r="B112" s="152"/>
      <c r="C112" s="146" t="s">
        <v>119</v>
      </c>
      <c r="D112" s="126"/>
      <c r="E112" s="126"/>
      <c r="F112" s="94"/>
      <c r="G112" s="95">
        <f>SUM(G110:G111)</f>
        <v>15793.039999999999</v>
      </c>
    </row>
    <row r="113" spans="1:7" s="157" customFormat="1" hidden="1">
      <c r="A113" s="155"/>
      <c r="B113" s="145"/>
      <c r="C113" s="146" t="s">
        <v>118</v>
      </c>
      <c r="D113" s="156"/>
      <c r="E113" s="123"/>
      <c r="F113" s="88" t="s">
        <v>154</v>
      </c>
      <c r="G113" s="96">
        <f>G112/6</f>
        <v>2632.1733333333332</v>
      </c>
    </row>
    <row r="114" spans="1:7" s="143" customFormat="1" ht="134.25" hidden="1" customHeight="1">
      <c r="A114" s="144" t="s">
        <v>126</v>
      </c>
      <c r="B114" s="145">
        <v>4</v>
      </c>
      <c r="C114" s="146" t="s">
        <v>343</v>
      </c>
      <c r="D114" s="150"/>
      <c r="E114" s="123"/>
      <c r="F114" s="88"/>
      <c r="G114" s="90"/>
    </row>
    <row r="115" spans="1:7" s="143" customFormat="1" hidden="1">
      <c r="A115" s="148" t="s">
        <v>295</v>
      </c>
      <c r="B115" s="145"/>
      <c r="C115" s="149" t="s">
        <v>111</v>
      </c>
      <c r="D115" s="150"/>
      <c r="E115" s="123"/>
      <c r="F115" s="88"/>
      <c r="G115" s="90"/>
    </row>
    <row r="116" spans="1:7" s="143" customFormat="1" hidden="1">
      <c r="A116" s="148" t="s">
        <v>130</v>
      </c>
      <c r="B116" s="145"/>
      <c r="C116" s="149" t="s">
        <v>57</v>
      </c>
      <c r="D116" s="150"/>
      <c r="E116" s="123"/>
      <c r="F116" s="88"/>
      <c r="G116" s="90"/>
    </row>
    <row r="117" spans="1:7" s="143" customFormat="1" hidden="1">
      <c r="A117" s="148"/>
      <c r="B117" s="145"/>
      <c r="C117" s="149" t="s">
        <v>113</v>
      </c>
      <c r="D117" s="150"/>
      <c r="E117" s="123"/>
      <c r="F117" s="88"/>
      <c r="G117" s="93"/>
    </row>
    <row r="118" spans="1:7" s="143" customFormat="1" hidden="1">
      <c r="A118" s="148"/>
      <c r="B118" s="145"/>
      <c r="C118" s="149" t="s">
        <v>114</v>
      </c>
      <c r="D118" s="150" t="s">
        <v>55</v>
      </c>
      <c r="E118" s="123">
        <v>0.31</v>
      </c>
      <c r="F118" s="88">
        <f>Lead!R24</f>
        <v>445</v>
      </c>
      <c r="G118" s="90">
        <f>ROUND(F118*E118,2)</f>
        <v>137.94999999999999</v>
      </c>
    </row>
    <row r="119" spans="1:7" s="154" customFormat="1" hidden="1">
      <c r="A119" s="151"/>
      <c r="B119" s="152"/>
      <c r="C119" s="153" t="s">
        <v>315</v>
      </c>
      <c r="D119" s="125"/>
      <c r="E119" s="125">
        <f>Lead!Q26</f>
        <v>0.4</v>
      </c>
      <c r="F119" s="91">
        <f>SUM(G117:G118)</f>
        <v>137.94999999999999</v>
      </c>
      <c r="G119" s="92">
        <f>ROUND(F119*E119,2)</f>
        <v>55.18</v>
      </c>
    </row>
    <row r="120" spans="1:7" s="143" customFormat="1" hidden="1">
      <c r="A120" s="148"/>
      <c r="B120" s="145"/>
      <c r="C120" s="149" t="s">
        <v>270</v>
      </c>
      <c r="D120" s="150" t="s">
        <v>109</v>
      </c>
      <c r="E120" s="123">
        <v>6</v>
      </c>
      <c r="F120" s="88">
        <f>Lead!R20</f>
        <v>240.59</v>
      </c>
      <c r="G120" s="90">
        <f>ROUND(F120*E120,2)</f>
        <v>1443.54</v>
      </c>
    </row>
    <row r="121" spans="1:7" s="143" customFormat="1" hidden="1">
      <c r="A121" s="148"/>
      <c r="B121" s="145"/>
      <c r="C121" s="149"/>
      <c r="D121" s="150"/>
      <c r="E121" s="123"/>
      <c r="F121" s="88"/>
      <c r="G121" s="90">
        <f>SUM(G118:G120)</f>
        <v>1636.67</v>
      </c>
    </row>
    <row r="122" spans="1:7" s="157" customFormat="1" ht="25.5" hidden="1">
      <c r="A122" s="155"/>
      <c r="B122" s="145"/>
      <c r="C122" s="146" t="s">
        <v>398</v>
      </c>
      <c r="D122" s="156"/>
      <c r="E122" s="123">
        <f>G121</f>
        <v>1636.67</v>
      </c>
      <c r="F122" s="271">
        <f>Lead!Q27</f>
        <v>0.13614999999999999</v>
      </c>
      <c r="G122" s="93">
        <f>ROUND(F122*E122,2)</f>
        <v>222.83</v>
      </c>
    </row>
    <row r="123" spans="1:7" s="157" customFormat="1" hidden="1">
      <c r="A123" s="155"/>
      <c r="B123" s="145"/>
      <c r="C123" s="146" t="s">
        <v>119</v>
      </c>
      <c r="D123" s="156"/>
      <c r="E123" s="123"/>
      <c r="F123" s="88"/>
      <c r="G123" s="93">
        <f>SUM(G121:G122)</f>
        <v>1859.5</v>
      </c>
    </row>
    <row r="124" spans="1:7" s="157" customFormat="1" hidden="1">
      <c r="A124" s="155"/>
      <c r="B124" s="145"/>
      <c r="C124" s="146" t="s">
        <v>118</v>
      </c>
      <c r="D124" s="156"/>
      <c r="E124" s="123"/>
      <c r="F124" s="88" t="s">
        <v>154</v>
      </c>
      <c r="G124" s="96">
        <f>ROUND(G123/6,20)</f>
        <v>309.91666666666703</v>
      </c>
    </row>
    <row r="125" spans="1:7" s="143" customFormat="1" hidden="1">
      <c r="A125" s="144" t="s">
        <v>49</v>
      </c>
      <c r="B125" s="145"/>
      <c r="C125" s="146" t="s">
        <v>50</v>
      </c>
      <c r="D125" s="150"/>
      <c r="E125" s="123"/>
      <c r="F125" s="88"/>
      <c r="G125" s="90"/>
    </row>
    <row r="126" spans="1:7" s="161" customFormat="1" hidden="1">
      <c r="A126" s="144" t="s">
        <v>20</v>
      </c>
      <c r="B126" s="160">
        <v>5</v>
      </c>
      <c r="C126" s="146" t="s">
        <v>21</v>
      </c>
      <c r="D126" s="156"/>
      <c r="E126" s="123"/>
      <c r="F126" s="88"/>
      <c r="G126" s="93"/>
    </row>
    <row r="127" spans="1:7" hidden="1">
      <c r="A127" s="162"/>
      <c r="B127" s="160"/>
      <c r="C127" s="149" t="s">
        <v>11</v>
      </c>
      <c r="D127" s="150"/>
      <c r="E127" s="123"/>
      <c r="F127" s="88"/>
      <c r="G127" s="90"/>
    </row>
    <row r="128" spans="1:7" hidden="1">
      <c r="A128" s="162"/>
      <c r="B128" s="160"/>
      <c r="C128" s="149" t="s">
        <v>12</v>
      </c>
      <c r="D128" s="150"/>
      <c r="E128" s="123"/>
      <c r="F128" s="88"/>
      <c r="G128" s="90"/>
    </row>
    <row r="129" spans="1:7" hidden="1">
      <c r="A129" s="162"/>
      <c r="B129" s="160"/>
      <c r="C129" s="149" t="s">
        <v>107</v>
      </c>
      <c r="D129" s="150" t="s">
        <v>13</v>
      </c>
      <c r="E129" s="123">
        <v>480</v>
      </c>
      <c r="F129" s="88" t="e">
        <f>Lead!R8</f>
        <v>#REF!</v>
      </c>
      <c r="G129" s="90" t="e">
        <f>ROUND(E129*F129/1000,2)</f>
        <v>#REF!</v>
      </c>
    </row>
    <row r="130" spans="1:7" hidden="1">
      <c r="A130" s="162"/>
      <c r="B130" s="160"/>
      <c r="C130" s="149" t="s">
        <v>14</v>
      </c>
      <c r="D130" s="150" t="s">
        <v>290</v>
      </c>
      <c r="E130" s="123">
        <v>1.05</v>
      </c>
      <c r="F130" s="88">
        <f>Lead!R10</f>
        <v>2474.56</v>
      </c>
      <c r="G130" s="90">
        <f>ROUND(E130*F130,2)</f>
        <v>2598.29</v>
      </c>
    </row>
    <row r="131" spans="1:7" hidden="1">
      <c r="A131" s="162"/>
      <c r="B131" s="160"/>
      <c r="C131" s="149" t="s">
        <v>15</v>
      </c>
      <c r="D131" s="150"/>
      <c r="E131" s="123"/>
      <c r="F131" s="88"/>
      <c r="G131" s="90"/>
    </row>
    <row r="132" spans="1:7" hidden="1">
      <c r="A132" s="162"/>
      <c r="B132" s="160"/>
      <c r="C132" s="149" t="s">
        <v>16</v>
      </c>
      <c r="D132" s="150"/>
      <c r="E132" s="123"/>
      <c r="F132" s="88"/>
      <c r="G132" s="90"/>
    </row>
    <row r="133" spans="1:7" hidden="1">
      <c r="A133" s="162"/>
      <c r="B133" s="160"/>
      <c r="C133" s="149" t="s">
        <v>17</v>
      </c>
      <c r="D133" s="150" t="s">
        <v>18</v>
      </c>
      <c r="E133" s="123">
        <v>0.2</v>
      </c>
      <c r="F133" s="88">
        <f>Lead!R24</f>
        <v>445</v>
      </c>
      <c r="G133" s="90">
        <f>ROUND(E133*F133,2)</f>
        <v>89</v>
      </c>
    </row>
    <row r="134" spans="1:7" s="154" customFormat="1" hidden="1">
      <c r="A134" s="151"/>
      <c r="B134" s="152"/>
      <c r="C134" s="153" t="s">
        <v>315</v>
      </c>
      <c r="D134" s="125"/>
      <c r="E134" s="125">
        <f>Lead!Q26</f>
        <v>0.4</v>
      </c>
      <c r="F134" s="91">
        <f>SUM(G132:G133)</f>
        <v>89</v>
      </c>
      <c r="G134" s="92">
        <f>ROUND(F134*E134,2)</f>
        <v>35.6</v>
      </c>
    </row>
    <row r="135" spans="1:7" s="161" customFormat="1" hidden="1">
      <c r="A135" s="144"/>
      <c r="B135" s="160"/>
      <c r="C135" s="146" t="s">
        <v>19</v>
      </c>
      <c r="D135" s="156"/>
      <c r="E135" s="123"/>
      <c r="F135" s="88" t="s">
        <v>154</v>
      </c>
      <c r="G135" s="96" t="e">
        <f>ROUND(SUM(G129:G134),2)</f>
        <v>#REF!</v>
      </c>
    </row>
    <row r="136" spans="1:7" s="161" customFormat="1" hidden="1">
      <c r="A136" s="144" t="s">
        <v>51</v>
      </c>
      <c r="B136" s="160">
        <v>6</v>
      </c>
      <c r="C136" s="146" t="s">
        <v>52</v>
      </c>
      <c r="D136" s="156"/>
      <c r="E136" s="123"/>
      <c r="F136" s="88"/>
      <c r="G136" s="93"/>
    </row>
    <row r="137" spans="1:7" hidden="1">
      <c r="A137" s="162"/>
      <c r="B137" s="160"/>
      <c r="C137" s="149" t="s">
        <v>11</v>
      </c>
      <c r="D137" s="150"/>
      <c r="E137" s="123"/>
      <c r="F137" s="88"/>
      <c r="G137" s="90"/>
    </row>
    <row r="138" spans="1:7" hidden="1">
      <c r="A138" s="162"/>
      <c r="B138" s="160"/>
      <c r="C138" s="149" t="s">
        <v>12</v>
      </c>
      <c r="D138" s="150"/>
      <c r="E138" s="123"/>
      <c r="F138" s="88"/>
      <c r="G138" s="90"/>
    </row>
    <row r="139" spans="1:7" hidden="1">
      <c r="A139" s="162"/>
      <c r="B139" s="160"/>
      <c r="C139" s="149" t="s">
        <v>107</v>
      </c>
      <c r="D139" s="150" t="s">
        <v>13</v>
      </c>
      <c r="E139" s="123">
        <v>360</v>
      </c>
      <c r="F139" s="88" t="e">
        <f>Lead!R8</f>
        <v>#REF!</v>
      </c>
      <c r="G139" s="90" t="e">
        <f>ROUND(E139*F139/1000,2)</f>
        <v>#REF!</v>
      </c>
    </row>
    <row r="140" spans="1:7" hidden="1">
      <c r="A140" s="162"/>
      <c r="B140" s="160"/>
      <c r="C140" s="149" t="s">
        <v>14</v>
      </c>
      <c r="D140" s="150" t="s">
        <v>290</v>
      </c>
      <c r="E140" s="123">
        <v>1.05</v>
      </c>
      <c r="F140" s="88">
        <f>Lead!R10</f>
        <v>2474.56</v>
      </c>
      <c r="G140" s="90">
        <f>ROUND(E140*F140,2)</f>
        <v>2598.29</v>
      </c>
    </row>
    <row r="141" spans="1:7" hidden="1">
      <c r="A141" s="162"/>
      <c r="B141" s="160"/>
      <c r="C141" s="149" t="s">
        <v>15</v>
      </c>
      <c r="D141" s="150"/>
      <c r="E141" s="123"/>
      <c r="F141" s="88"/>
      <c r="G141" s="90"/>
    </row>
    <row r="142" spans="1:7" hidden="1">
      <c r="A142" s="162"/>
      <c r="B142" s="160"/>
      <c r="C142" s="149" t="s">
        <v>16</v>
      </c>
      <c r="D142" s="150"/>
      <c r="E142" s="123"/>
      <c r="F142" s="88"/>
      <c r="G142" s="90"/>
    </row>
    <row r="143" spans="1:7" hidden="1">
      <c r="A143" s="162"/>
      <c r="B143" s="160"/>
      <c r="C143" s="149" t="s">
        <v>17</v>
      </c>
      <c r="D143" s="150" t="s">
        <v>18</v>
      </c>
      <c r="E143" s="123">
        <v>0.2</v>
      </c>
      <c r="F143" s="88">
        <f>Lead!R24</f>
        <v>445</v>
      </c>
      <c r="G143" s="90">
        <f>ROUND(E143*F143,2)</f>
        <v>89</v>
      </c>
    </row>
    <row r="144" spans="1:7" s="154" customFormat="1" hidden="1">
      <c r="A144" s="151"/>
      <c r="B144" s="152"/>
      <c r="C144" s="153" t="s">
        <v>315</v>
      </c>
      <c r="D144" s="125"/>
      <c r="E144" s="125">
        <f>Lead!Q26</f>
        <v>0.4</v>
      </c>
      <c r="F144" s="91">
        <f>SUM(G143)</f>
        <v>89</v>
      </c>
      <c r="G144" s="92">
        <f>ROUND(F144*E144,2)</f>
        <v>35.6</v>
      </c>
    </row>
    <row r="145" spans="1:7" s="161" customFormat="1" hidden="1">
      <c r="A145" s="144"/>
      <c r="B145" s="160"/>
      <c r="C145" s="146" t="s">
        <v>19</v>
      </c>
      <c r="D145" s="156"/>
      <c r="E145" s="123"/>
      <c r="F145" s="88" t="s">
        <v>154</v>
      </c>
      <c r="G145" s="96" t="e">
        <f>ROUND(SUM(G139:G144),2)</f>
        <v>#REF!</v>
      </c>
    </row>
    <row r="146" spans="1:7" s="161" customFormat="1" hidden="1">
      <c r="A146" s="144" t="s">
        <v>53</v>
      </c>
      <c r="B146" s="160">
        <v>7</v>
      </c>
      <c r="C146" s="146" t="s">
        <v>54</v>
      </c>
      <c r="D146" s="156"/>
      <c r="E146" s="123"/>
      <c r="F146" s="88"/>
      <c r="G146" s="93"/>
    </row>
    <row r="147" spans="1:7" hidden="1">
      <c r="A147" s="162"/>
      <c r="B147" s="160"/>
      <c r="C147" s="149" t="s">
        <v>11</v>
      </c>
      <c r="D147" s="150"/>
      <c r="E147" s="123"/>
      <c r="F147" s="88"/>
      <c r="G147" s="90"/>
    </row>
    <row r="148" spans="1:7" hidden="1">
      <c r="A148" s="162"/>
      <c r="B148" s="160"/>
      <c r="C148" s="149" t="s">
        <v>12</v>
      </c>
      <c r="D148" s="150"/>
      <c r="E148" s="123"/>
      <c r="F148" s="88"/>
      <c r="G148" s="90"/>
    </row>
    <row r="149" spans="1:7" hidden="1">
      <c r="A149" s="162"/>
      <c r="B149" s="160"/>
      <c r="C149" s="149" t="s">
        <v>107</v>
      </c>
      <c r="D149" s="150" t="s">
        <v>13</v>
      </c>
      <c r="E149" s="123">
        <v>240</v>
      </c>
      <c r="F149" s="88" t="e">
        <f>Lead!R8</f>
        <v>#REF!</v>
      </c>
      <c r="G149" s="90" t="e">
        <f>ROUND(E149*F149/1000,2)</f>
        <v>#REF!</v>
      </c>
    </row>
    <row r="150" spans="1:7" hidden="1">
      <c r="A150" s="162"/>
      <c r="B150" s="160"/>
      <c r="C150" s="149" t="s">
        <v>14</v>
      </c>
      <c r="D150" s="150" t="s">
        <v>290</v>
      </c>
      <c r="E150" s="123">
        <v>1.05</v>
      </c>
      <c r="F150" s="88">
        <f>Lead!R10</f>
        <v>2474.56</v>
      </c>
      <c r="G150" s="90">
        <f>ROUND(E150*F150,2)</f>
        <v>2598.29</v>
      </c>
    </row>
    <row r="151" spans="1:7" hidden="1">
      <c r="A151" s="162"/>
      <c r="B151" s="160"/>
      <c r="C151" s="149" t="s">
        <v>15</v>
      </c>
      <c r="D151" s="150"/>
      <c r="E151" s="123"/>
      <c r="F151" s="88"/>
      <c r="G151" s="90"/>
    </row>
    <row r="152" spans="1:7" hidden="1">
      <c r="A152" s="162"/>
      <c r="B152" s="160"/>
      <c r="C152" s="149" t="s">
        <v>16</v>
      </c>
      <c r="D152" s="150"/>
      <c r="E152" s="123"/>
      <c r="F152" s="88"/>
      <c r="G152" s="90"/>
    </row>
    <row r="153" spans="1:7" hidden="1">
      <c r="A153" s="162"/>
      <c r="B153" s="160"/>
      <c r="C153" s="149" t="s">
        <v>17</v>
      </c>
      <c r="D153" s="150" t="s">
        <v>18</v>
      </c>
      <c r="E153" s="123">
        <v>0.2</v>
      </c>
      <c r="F153" s="88">
        <f>Lead!R24</f>
        <v>445</v>
      </c>
      <c r="G153" s="90">
        <f>ROUND(E153*F153,2)</f>
        <v>89</v>
      </c>
    </row>
    <row r="154" spans="1:7" s="154" customFormat="1" hidden="1">
      <c r="A154" s="151"/>
      <c r="B154" s="152"/>
      <c r="C154" s="153" t="s">
        <v>315</v>
      </c>
      <c r="D154" s="125"/>
      <c r="E154" s="125">
        <f>Lead!Q26</f>
        <v>0.4</v>
      </c>
      <c r="F154" s="91">
        <f>SUM(G152:G153)</f>
        <v>89</v>
      </c>
      <c r="G154" s="92">
        <f>ROUND(F154*E154,2)</f>
        <v>35.6</v>
      </c>
    </row>
    <row r="155" spans="1:7" s="161" customFormat="1" hidden="1">
      <c r="A155" s="144"/>
      <c r="B155" s="160"/>
      <c r="C155" s="146" t="s">
        <v>19</v>
      </c>
      <c r="D155" s="156"/>
      <c r="E155" s="123"/>
      <c r="F155" s="88" t="s">
        <v>154</v>
      </c>
      <c r="G155" s="96" t="e">
        <f>ROUND(SUM(G149:G154),2)</f>
        <v>#REF!</v>
      </c>
    </row>
    <row r="156" spans="1:7" s="161" customFormat="1" hidden="1">
      <c r="A156" s="144" t="s">
        <v>82</v>
      </c>
      <c r="B156" s="160">
        <v>8</v>
      </c>
      <c r="C156" s="146" t="s">
        <v>83</v>
      </c>
      <c r="D156" s="156"/>
      <c r="E156" s="123"/>
      <c r="F156" s="88"/>
      <c r="G156" s="93"/>
    </row>
    <row r="157" spans="1:7" hidden="1">
      <c r="A157" s="162"/>
      <c r="B157" s="160"/>
      <c r="C157" s="149" t="s">
        <v>11</v>
      </c>
      <c r="D157" s="150"/>
      <c r="E157" s="123"/>
      <c r="F157" s="88"/>
      <c r="G157" s="90"/>
    </row>
    <row r="158" spans="1:7" hidden="1">
      <c r="A158" s="162"/>
      <c r="B158" s="160"/>
      <c r="C158" s="149" t="s">
        <v>12</v>
      </c>
      <c r="D158" s="150"/>
      <c r="E158" s="123"/>
      <c r="F158" s="88"/>
      <c r="G158" s="90"/>
    </row>
    <row r="159" spans="1:7" hidden="1">
      <c r="A159" s="162"/>
      <c r="B159" s="160"/>
      <c r="C159" s="149" t="s">
        <v>107</v>
      </c>
      <c r="D159" s="150" t="s">
        <v>13</v>
      </c>
      <c r="E159" s="123">
        <v>180</v>
      </c>
      <c r="F159" s="88" t="e">
        <f>Lead!R8</f>
        <v>#REF!</v>
      </c>
      <c r="G159" s="90" t="e">
        <f>ROUND(E159*F159/1000,2)</f>
        <v>#REF!</v>
      </c>
    </row>
    <row r="160" spans="1:7" hidden="1">
      <c r="A160" s="162"/>
      <c r="B160" s="160"/>
      <c r="C160" s="149" t="s">
        <v>14</v>
      </c>
      <c r="D160" s="150" t="s">
        <v>290</v>
      </c>
      <c r="E160" s="123">
        <v>1.05</v>
      </c>
      <c r="F160" s="88">
        <f>Lead!R10</f>
        <v>2474.56</v>
      </c>
      <c r="G160" s="90">
        <f>ROUND(E160*F160,2)</f>
        <v>2598.29</v>
      </c>
    </row>
    <row r="161" spans="1:7" hidden="1">
      <c r="A161" s="162"/>
      <c r="B161" s="160"/>
      <c r="C161" s="149" t="s">
        <v>15</v>
      </c>
      <c r="D161" s="150"/>
      <c r="E161" s="123"/>
      <c r="F161" s="88"/>
      <c r="G161" s="90"/>
    </row>
    <row r="162" spans="1:7" hidden="1">
      <c r="A162" s="162"/>
      <c r="B162" s="160"/>
      <c r="C162" s="149" t="s">
        <v>16</v>
      </c>
      <c r="D162" s="150"/>
      <c r="E162" s="123"/>
      <c r="F162" s="88"/>
      <c r="G162" s="90"/>
    </row>
    <row r="163" spans="1:7" hidden="1">
      <c r="A163" s="162"/>
      <c r="B163" s="160"/>
      <c r="C163" s="149" t="s">
        <v>17</v>
      </c>
      <c r="D163" s="150" t="s">
        <v>18</v>
      </c>
      <c r="E163" s="123">
        <v>0.2</v>
      </c>
      <c r="F163" s="88">
        <f>Lead!R24</f>
        <v>445</v>
      </c>
      <c r="G163" s="90">
        <f>ROUND(E163*F163,2)</f>
        <v>89</v>
      </c>
    </row>
    <row r="164" spans="1:7" s="154" customFormat="1" hidden="1">
      <c r="A164" s="151"/>
      <c r="B164" s="152"/>
      <c r="C164" s="153" t="s">
        <v>315</v>
      </c>
      <c r="D164" s="125"/>
      <c r="E164" s="125">
        <f>Lead!Q26</f>
        <v>0.4</v>
      </c>
      <c r="F164" s="91">
        <f>SUM(G162:G163)</f>
        <v>89</v>
      </c>
      <c r="G164" s="92">
        <f>ROUND(F164*E164,2)</f>
        <v>35.6</v>
      </c>
    </row>
    <row r="165" spans="1:7" s="161" customFormat="1" hidden="1">
      <c r="A165" s="144"/>
      <c r="B165" s="160"/>
      <c r="C165" s="146" t="s">
        <v>19</v>
      </c>
      <c r="D165" s="156"/>
      <c r="E165" s="123"/>
      <c r="F165" s="88" t="s">
        <v>154</v>
      </c>
      <c r="G165" s="96" t="e">
        <f>ROUND(SUM(G159:G164),2)</f>
        <v>#REF!</v>
      </c>
    </row>
    <row r="166" spans="1:7" s="165" customFormat="1" ht="38.25" hidden="1">
      <c r="A166" s="163" t="s">
        <v>271</v>
      </c>
      <c r="B166" s="164">
        <v>9</v>
      </c>
      <c r="C166" s="159" t="s">
        <v>344</v>
      </c>
      <c r="D166" s="126"/>
      <c r="E166" s="127"/>
      <c r="F166" s="98"/>
      <c r="G166" s="99"/>
    </row>
    <row r="167" spans="1:7" s="165" customFormat="1" hidden="1">
      <c r="A167" s="166"/>
      <c r="B167" s="164"/>
      <c r="C167" s="158" t="s">
        <v>90</v>
      </c>
      <c r="D167" s="126"/>
      <c r="E167" s="127"/>
      <c r="F167" s="98"/>
      <c r="G167" s="99"/>
    </row>
    <row r="168" spans="1:7" s="165" customFormat="1" hidden="1">
      <c r="A168" s="166"/>
      <c r="B168" s="164"/>
      <c r="C168" s="158" t="s">
        <v>12</v>
      </c>
      <c r="D168" s="126"/>
      <c r="E168" s="127"/>
      <c r="F168" s="98"/>
      <c r="G168" s="99"/>
    </row>
    <row r="169" spans="1:7" s="165" customFormat="1" hidden="1">
      <c r="A169" s="166"/>
      <c r="B169" s="164"/>
      <c r="C169" s="158" t="s">
        <v>107</v>
      </c>
      <c r="D169" s="126" t="s">
        <v>91</v>
      </c>
      <c r="E169" s="127">
        <v>162</v>
      </c>
      <c r="F169" s="98" t="e">
        <f>Lead!R8</f>
        <v>#REF!</v>
      </c>
      <c r="G169" s="99" t="e">
        <f>ROUND(E169*F169/1000,2)</f>
        <v>#REF!</v>
      </c>
    </row>
    <row r="170" spans="1:7" s="165" customFormat="1" hidden="1">
      <c r="A170" s="166"/>
      <c r="B170" s="164"/>
      <c r="C170" s="158" t="s">
        <v>93</v>
      </c>
      <c r="D170" s="126" t="s">
        <v>290</v>
      </c>
      <c r="E170" s="127">
        <v>0.9</v>
      </c>
      <c r="F170" s="98">
        <f>Lead!R17</f>
        <v>872.59</v>
      </c>
      <c r="G170" s="99">
        <f>ROUND(E170*F170,2)</f>
        <v>785.33</v>
      </c>
    </row>
    <row r="171" spans="1:7" s="165" customFormat="1" hidden="1">
      <c r="A171" s="166"/>
      <c r="B171" s="164"/>
      <c r="C171" s="158" t="s">
        <v>409</v>
      </c>
      <c r="D171" s="126" t="s">
        <v>290</v>
      </c>
      <c r="E171" s="126">
        <v>0.45</v>
      </c>
      <c r="F171" s="94">
        <f>Lead!R11</f>
        <v>2284.56</v>
      </c>
      <c r="G171" s="95">
        <f>ROUND(E171*F171,2)</f>
        <v>1028.05</v>
      </c>
    </row>
    <row r="172" spans="1:7" s="165" customFormat="1" hidden="1">
      <c r="A172" s="166"/>
      <c r="B172" s="164"/>
      <c r="C172" s="158" t="s">
        <v>127</v>
      </c>
      <c r="D172" s="126" t="s">
        <v>4</v>
      </c>
      <c r="E172" s="126">
        <v>1.2</v>
      </c>
      <c r="F172" s="94">
        <f>Lead!P37</f>
        <v>0</v>
      </c>
      <c r="G172" s="95">
        <f>ROUND(E172*F172,2)</f>
        <v>0</v>
      </c>
    </row>
    <row r="173" spans="1:7" s="165" customFormat="1" hidden="1">
      <c r="A173" s="166"/>
      <c r="B173" s="164"/>
      <c r="C173" s="158" t="s">
        <v>88</v>
      </c>
      <c r="D173" s="126" t="s">
        <v>89</v>
      </c>
      <c r="E173" s="127">
        <v>1</v>
      </c>
      <c r="F173" s="98">
        <v>472.6</v>
      </c>
      <c r="G173" s="99">
        <f>ROUND(E173*F173,2)</f>
        <v>472.6</v>
      </c>
    </row>
    <row r="174" spans="1:7" s="165" customFormat="1" hidden="1">
      <c r="A174" s="166"/>
      <c r="B174" s="164"/>
      <c r="C174" s="158" t="s">
        <v>16</v>
      </c>
      <c r="D174" s="126"/>
      <c r="E174" s="127"/>
      <c r="F174" s="98"/>
      <c r="G174" s="99"/>
    </row>
    <row r="175" spans="1:7" s="165" customFormat="1" ht="15" hidden="1">
      <c r="A175" s="166"/>
      <c r="B175" s="164"/>
      <c r="C175" s="158" t="s">
        <v>345</v>
      </c>
      <c r="D175" s="126" t="s">
        <v>18</v>
      </c>
      <c r="E175" s="127">
        <v>0.1</v>
      </c>
      <c r="F175" s="88">
        <f>Lead!R26</f>
        <v>0</v>
      </c>
      <c r="G175" s="99">
        <f>ROUND(E175*F175,2)</f>
        <v>0</v>
      </c>
    </row>
    <row r="176" spans="1:7" s="165" customFormat="1" hidden="1">
      <c r="A176" s="166"/>
      <c r="B176" s="164"/>
      <c r="C176" s="158" t="s">
        <v>87</v>
      </c>
      <c r="D176" s="126" t="s">
        <v>18</v>
      </c>
      <c r="E176" s="127">
        <v>1.39</v>
      </c>
      <c r="F176" s="88">
        <f>Lead!R24</f>
        <v>445</v>
      </c>
      <c r="G176" s="99">
        <f>ROUND(E176*F176,2)</f>
        <v>618.54999999999995</v>
      </c>
    </row>
    <row r="177" spans="1:7" s="154" customFormat="1" hidden="1">
      <c r="A177" s="151"/>
      <c r="B177" s="152"/>
      <c r="C177" s="153" t="s">
        <v>315</v>
      </c>
      <c r="D177" s="125"/>
      <c r="E177" s="125">
        <f>Lead!Q26</f>
        <v>0.4</v>
      </c>
      <c r="F177" s="91">
        <f>SUM(G175:G176)</f>
        <v>618.54999999999995</v>
      </c>
      <c r="G177" s="92">
        <f>ROUND(F177*E177,2)</f>
        <v>247.42</v>
      </c>
    </row>
    <row r="178" spans="1:7" s="168" customFormat="1" hidden="1">
      <c r="A178" s="163"/>
      <c r="B178" s="164"/>
      <c r="C178" s="146" t="s">
        <v>118</v>
      </c>
      <c r="D178" s="167"/>
      <c r="E178" s="127"/>
      <c r="F178" s="88" t="s">
        <v>154</v>
      </c>
      <c r="G178" s="96" t="e">
        <f>SUM(G169:G177)</f>
        <v>#REF!</v>
      </c>
    </row>
    <row r="179" spans="1:7" ht="38.25" hidden="1">
      <c r="A179" s="144" t="s">
        <v>272</v>
      </c>
      <c r="B179" s="160">
        <v>10</v>
      </c>
      <c r="C179" s="146" t="s">
        <v>346</v>
      </c>
      <c r="D179" s="150"/>
      <c r="E179" s="123"/>
      <c r="F179" s="88"/>
      <c r="G179" s="90"/>
    </row>
    <row r="180" spans="1:7" hidden="1">
      <c r="A180" s="162"/>
      <c r="B180" s="160"/>
      <c r="C180" s="149" t="s">
        <v>90</v>
      </c>
      <c r="D180" s="150"/>
      <c r="E180" s="123"/>
      <c r="F180" s="88"/>
      <c r="G180" s="90"/>
    </row>
    <row r="181" spans="1:7" hidden="1">
      <c r="A181" s="162"/>
      <c r="B181" s="160"/>
      <c r="C181" s="149" t="s">
        <v>12</v>
      </c>
      <c r="D181" s="150"/>
      <c r="E181" s="123"/>
      <c r="F181" s="88"/>
      <c r="G181" s="90"/>
    </row>
    <row r="182" spans="1:7" hidden="1">
      <c r="A182" s="162"/>
      <c r="B182" s="160"/>
      <c r="C182" s="149" t="s">
        <v>107</v>
      </c>
      <c r="D182" s="150" t="s">
        <v>91</v>
      </c>
      <c r="E182" s="123">
        <v>129.6</v>
      </c>
      <c r="F182" s="88" t="e">
        <f>Lead!R8</f>
        <v>#REF!</v>
      </c>
      <c r="G182" s="90" t="e">
        <f>ROUND(E182*F182/1000,2)</f>
        <v>#REF!</v>
      </c>
    </row>
    <row r="183" spans="1:7" hidden="1">
      <c r="A183" s="162"/>
      <c r="B183" s="160"/>
      <c r="C183" s="149" t="s">
        <v>93</v>
      </c>
      <c r="D183" s="150" t="s">
        <v>290</v>
      </c>
      <c r="E183" s="123">
        <v>0.9</v>
      </c>
      <c r="F183" s="88">
        <f>Lead!R17</f>
        <v>872.59</v>
      </c>
      <c r="G183" s="90">
        <f>ROUND(E183*F183,2)</f>
        <v>785.33</v>
      </c>
    </row>
    <row r="184" spans="1:7" hidden="1">
      <c r="A184" s="162"/>
      <c r="B184" s="160"/>
      <c r="C184" s="158" t="s">
        <v>409</v>
      </c>
      <c r="D184" s="150" t="s">
        <v>290</v>
      </c>
      <c r="E184" s="123">
        <v>0.45</v>
      </c>
      <c r="F184" s="88">
        <f>Lead!R11</f>
        <v>2284.56</v>
      </c>
      <c r="G184" s="90">
        <f>ROUND(E184*F184,2)</f>
        <v>1028.05</v>
      </c>
    </row>
    <row r="185" spans="1:7" hidden="1">
      <c r="A185" s="162"/>
      <c r="B185" s="160"/>
      <c r="C185" s="149" t="s">
        <v>3</v>
      </c>
      <c r="D185" s="150" t="s">
        <v>4</v>
      </c>
      <c r="E185" s="123">
        <v>1.2</v>
      </c>
      <c r="F185" s="88">
        <f>Lead!P37</f>
        <v>0</v>
      </c>
      <c r="G185" s="90">
        <f>ROUND(E185*F185,2)</f>
        <v>0</v>
      </c>
    </row>
    <row r="186" spans="1:7" hidden="1">
      <c r="A186" s="162"/>
      <c r="B186" s="160"/>
      <c r="C186" s="149" t="s">
        <v>15</v>
      </c>
      <c r="D186" s="150"/>
      <c r="E186" s="123"/>
      <c r="F186" s="88"/>
      <c r="G186" s="90"/>
    </row>
    <row r="187" spans="1:7" hidden="1">
      <c r="A187" s="162"/>
      <c r="B187" s="160"/>
      <c r="C187" s="149" t="s">
        <v>88</v>
      </c>
      <c r="D187" s="150" t="s">
        <v>89</v>
      </c>
      <c r="E187" s="123">
        <v>1</v>
      </c>
      <c r="F187" s="88">
        <f>F173</f>
        <v>472.6</v>
      </c>
      <c r="G187" s="90">
        <f>ROUND(E187*F187,2)</f>
        <v>472.6</v>
      </c>
    </row>
    <row r="188" spans="1:7" hidden="1">
      <c r="A188" s="162"/>
      <c r="B188" s="160"/>
      <c r="C188" s="149" t="s">
        <v>16</v>
      </c>
      <c r="D188" s="150"/>
      <c r="E188" s="123"/>
      <c r="F188" s="88"/>
      <c r="G188" s="90"/>
    </row>
    <row r="189" spans="1:7" ht="15" hidden="1">
      <c r="A189" s="162"/>
      <c r="B189" s="160"/>
      <c r="C189" s="149" t="s">
        <v>345</v>
      </c>
      <c r="D189" s="150" t="s">
        <v>18</v>
      </c>
      <c r="E189" s="123">
        <v>0.1</v>
      </c>
      <c r="F189" s="88">
        <f>Lead!R26</f>
        <v>0</v>
      </c>
      <c r="G189" s="90">
        <f>ROUND(E189*F189,2)</f>
        <v>0</v>
      </c>
    </row>
    <row r="190" spans="1:7" hidden="1">
      <c r="A190" s="162"/>
      <c r="B190" s="160"/>
      <c r="C190" s="149" t="s">
        <v>87</v>
      </c>
      <c r="D190" s="150" t="s">
        <v>18</v>
      </c>
      <c r="E190" s="123">
        <v>1.39</v>
      </c>
      <c r="F190" s="88">
        <f>Lead!R24</f>
        <v>445</v>
      </c>
      <c r="G190" s="90">
        <f>ROUND(E190*F190,2)</f>
        <v>618.54999999999995</v>
      </c>
    </row>
    <row r="191" spans="1:7" s="154" customFormat="1" hidden="1">
      <c r="A191" s="151"/>
      <c r="B191" s="152"/>
      <c r="C191" s="153" t="s">
        <v>315</v>
      </c>
      <c r="D191" s="125"/>
      <c r="E191" s="125">
        <f>Lead!Q26</f>
        <v>0.4</v>
      </c>
      <c r="F191" s="91">
        <f>SUM(G189:G190)</f>
        <v>618.54999999999995</v>
      </c>
      <c r="G191" s="92">
        <f>ROUND(F191*E191,2)</f>
        <v>247.42</v>
      </c>
    </row>
    <row r="192" spans="1:7" hidden="1">
      <c r="A192" s="162"/>
      <c r="B192" s="160"/>
      <c r="C192" s="149" t="s">
        <v>19</v>
      </c>
      <c r="D192" s="150"/>
      <c r="E192" s="123"/>
      <c r="F192" s="88"/>
      <c r="G192" s="90" t="e">
        <f>ROUND(SUM(G182:G191),2)</f>
        <v>#REF!</v>
      </c>
    </row>
    <row r="193" spans="1:7" s="157" customFormat="1" ht="25.5" hidden="1">
      <c r="A193" s="155"/>
      <c r="B193" s="145"/>
      <c r="C193" s="146" t="s">
        <v>398</v>
      </c>
      <c r="D193" s="156"/>
      <c r="E193" s="123" t="e">
        <f>G192</f>
        <v>#REF!</v>
      </c>
      <c r="F193" s="271">
        <f>Lead!Q27</f>
        <v>0.13614999999999999</v>
      </c>
      <c r="G193" s="93" t="e">
        <f>ROUND(F193*E193,2)</f>
        <v>#REF!</v>
      </c>
    </row>
    <row r="194" spans="1:7" s="157" customFormat="1" hidden="1">
      <c r="A194" s="155"/>
      <c r="B194" s="145"/>
      <c r="C194" s="146" t="s">
        <v>118</v>
      </c>
      <c r="D194" s="156"/>
      <c r="E194" s="123"/>
      <c r="F194" s="88" t="s">
        <v>154</v>
      </c>
      <c r="G194" s="96" t="e">
        <f>SUM(G192:G193)</f>
        <v>#REF!</v>
      </c>
    </row>
    <row r="195" spans="1:7" ht="25.5" hidden="1">
      <c r="A195" s="169" t="s">
        <v>68</v>
      </c>
      <c r="B195" s="160">
        <v>11</v>
      </c>
      <c r="C195" s="170" t="s">
        <v>69</v>
      </c>
      <c r="D195" s="150"/>
      <c r="E195" s="123"/>
      <c r="F195" s="88"/>
      <c r="G195" s="90"/>
    </row>
    <row r="196" spans="1:7" hidden="1">
      <c r="A196" s="171"/>
      <c r="B196" s="160"/>
      <c r="C196" s="170" t="s">
        <v>90</v>
      </c>
      <c r="D196" s="172"/>
      <c r="E196" s="123"/>
      <c r="F196" s="88"/>
      <c r="G196" s="100"/>
    </row>
    <row r="197" spans="1:7" hidden="1">
      <c r="A197" s="171"/>
      <c r="B197" s="160"/>
      <c r="C197" s="170" t="s">
        <v>70</v>
      </c>
      <c r="D197" s="172"/>
      <c r="E197" s="123"/>
      <c r="F197" s="88"/>
      <c r="G197" s="100"/>
    </row>
    <row r="198" spans="1:7" hidden="1">
      <c r="A198" s="171"/>
      <c r="B198" s="160"/>
      <c r="C198" s="173" t="s">
        <v>107</v>
      </c>
      <c r="D198" s="172" t="s">
        <v>91</v>
      </c>
      <c r="E198" s="123">
        <v>275</v>
      </c>
      <c r="F198" s="88" t="e">
        <f>Lead!R8</f>
        <v>#REF!</v>
      </c>
      <c r="G198" s="99" t="e">
        <f>ROUND(E198*F198/1000,2)</f>
        <v>#REF!</v>
      </c>
    </row>
    <row r="199" spans="1:7" hidden="1">
      <c r="A199" s="171"/>
      <c r="B199" s="160"/>
      <c r="C199" s="173" t="s">
        <v>410</v>
      </c>
      <c r="D199" s="172" t="s">
        <v>91</v>
      </c>
      <c r="E199" s="123">
        <v>0.48</v>
      </c>
      <c r="F199" s="88">
        <f>Lead!R11</f>
        <v>2284.56</v>
      </c>
      <c r="G199" s="99">
        <f>ROUND(E199*F199,2)</f>
        <v>1096.5899999999999</v>
      </c>
    </row>
    <row r="200" spans="1:7" hidden="1">
      <c r="A200" s="171"/>
      <c r="B200" s="160"/>
      <c r="C200" s="173" t="s">
        <v>71</v>
      </c>
      <c r="D200" s="172" t="s">
        <v>91</v>
      </c>
      <c r="E200" s="123">
        <v>0.54</v>
      </c>
      <c r="F200" s="88">
        <f>Lead!R17</f>
        <v>872.59</v>
      </c>
      <c r="G200" s="99">
        <f>ROUND(E200*F200,2)</f>
        <v>471.2</v>
      </c>
    </row>
    <row r="201" spans="1:7" hidden="1">
      <c r="A201" s="171"/>
      <c r="B201" s="160"/>
      <c r="C201" s="173" t="s">
        <v>72</v>
      </c>
      <c r="D201" s="172" t="s">
        <v>91</v>
      </c>
      <c r="E201" s="123">
        <v>0.27</v>
      </c>
      <c r="F201" s="88">
        <f>Lead!R18</f>
        <v>1341.59</v>
      </c>
      <c r="G201" s="99">
        <f>ROUND(E201*F201,2)</f>
        <v>362.23</v>
      </c>
    </row>
    <row r="202" spans="1:7" hidden="1">
      <c r="A202" s="171"/>
      <c r="B202" s="160"/>
      <c r="C202" s="173" t="s">
        <v>73</v>
      </c>
      <c r="D202" s="172" t="s">
        <v>91</v>
      </c>
      <c r="E202" s="123">
        <v>0.09</v>
      </c>
      <c r="F202" s="88">
        <f>Lead!R19</f>
        <v>923.59</v>
      </c>
      <c r="G202" s="99">
        <f>ROUND(E202*F202,2)</f>
        <v>83.12</v>
      </c>
    </row>
    <row r="203" spans="1:7" hidden="1">
      <c r="A203" s="171"/>
      <c r="B203" s="160"/>
      <c r="C203" s="173" t="s">
        <v>402</v>
      </c>
      <c r="D203" s="172" t="s">
        <v>91</v>
      </c>
      <c r="E203" s="123">
        <v>1.2</v>
      </c>
      <c r="F203" s="88">
        <f>Lead!P37</f>
        <v>0</v>
      </c>
      <c r="G203" s="99">
        <f>ROUND(E203*F203,2)</f>
        <v>0</v>
      </c>
    </row>
    <row r="204" spans="1:7" hidden="1">
      <c r="A204" s="171"/>
      <c r="B204" s="160"/>
      <c r="C204" s="170" t="s">
        <v>74</v>
      </c>
      <c r="D204" s="172"/>
      <c r="E204" s="123"/>
      <c r="F204" s="88"/>
      <c r="G204" s="100"/>
    </row>
    <row r="205" spans="1:7" hidden="1">
      <c r="A205" s="171"/>
      <c r="B205" s="160"/>
      <c r="C205" s="173" t="s">
        <v>75</v>
      </c>
      <c r="D205" s="172" t="s">
        <v>18</v>
      </c>
      <c r="E205" s="123">
        <v>0.1</v>
      </c>
      <c r="F205" s="88">
        <f>Lead!R26</f>
        <v>0</v>
      </c>
      <c r="G205" s="99">
        <f>ROUND(E205*F205,2)</f>
        <v>0</v>
      </c>
    </row>
    <row r="206" spans="1:7" hidden="1">
      <c r="A206" s="171"/>
      <c r="B206" s="160"/>
      <c r="C206" s="173" t="s">
        <v>92</v>
      </c>
      <c r="D206" s="172" t="s">
        <v>18</v>
      </c>
      <c r="E206" s="123">
        <v>2.36</v>
      </c>
      <c r="F206" s="88">
        <f>Lead!R24</f>
        <v>445</v>
      </c>
      <c r="G206" s="99">
        <f>ROUND(E206*F206,2)</f>
        <v>1050.2</v>
      </c>
    </row>
    <row r="207" spans="1:7" s="154" customFormat="1" hidden="1">
      <c r="A207" s="151"/>
      <c r="B207" s="152"/>
      <c r="C207" s="153" t="s">
        <v>315</v>
      </c>
      <c r="D207" s="125"/>
      <c r="E207" s="125">
        <f>Lead!Q26</f>
        <v>0.4</v>
      </c>
      <c r="F207" s="91">
        <f>SUM(G205:G206)</f>
        <v>1050.2</v>
      </c>
      <c r="G207" s="92">
        <f>ROUND(F207*E207,2)</f>
        <v>420.08</v>
      </c>
    </row>
    <row r="208" spans="1:7" s="161" customFormat="1" hidden="1">
      <c r="A208" s="169"/>
      <c r="B208" s="160"/>
      <c r="C208" s="170" t="s">
        <v>19</v>
      </c>
      <c r="D208" s="175"/>
      <c r="E208" s="123"/>
      <c r="F208" s="88" t="s">
        <v>154</v>
      </c>
      <c r="G208" s="101" t="e">
        <f>SUM(G198:G207)</f>
        <v>#REF!</v>
      </c>
    </row>
    <row r="209" spans="1:7" ht="135.75" hidden="1" customHeight="1">
      <c r="A209" s="169" t="s">
        <v>276</v>
      </c>
      <c r="B209" s="160">
        <v>12</v>
      </c>
      <c r="C209" s="170" t="s">
        <v>411</v>
      </c>
      <c r="D209" s="176"/>
      <c r="E209" s="123"/>
      <c r="F209" s="88"/>
      <c r="G209" s="100" t="s">
        <v>318</v>
      </c>
    </row>
    <row r="210" spans="1:7" hidden="1">
      <c r="A210" s="171"/>
      <c r="B210" s="160"/>
      <c r="C210" s="170" t="s">
        <v>277</v>
      </c>
      <c r="D210" s="176"/>
      <c r="E210" s="123"/>
      <c r="F210" s="88"/>
      <c r="G210" s="100"/>
    </row>
    <row r="211" spans="1:7" hidden="1">
      <c r="A211" s="171"/>
      <c r="B211" s="160"/>
      <c r="C211" s="173" t="s">
        <v>32</v>
      </c>
      <c r="D211" s="176"/>
      <c r="E211" s="123"/>
      <c r="F211" s="88"/>
      <c r="G211" s="100"/>
    </row>
    <row r="212" spans="1:7" hidden="1">
      <c r="A212" s="171"/>
      <c r="B212" s="160"/>
      <c r="C212" s="170" t="s">
        <v>12</v>
      </c>
      <c r="D212" s="176"/>
      <c r="E212" s="123"/>
      <c r="F212" s="88"/>
      <c r="G212" s="100"/>
    </row>
    <row r="213" spans="1:7" hidden="1">
      <c r="A213" s="144" t="s">
        <v>281</v>
      </c>
      <c r="B213" s="177"/>
      <c r="C213" s="173" t="s">
        <v>393</v>
      </c>
      <c r="D213" s="176" t="s">
        <v>122</v>
      </c>
      <c r="E213" s="128">
        <v>672</v>
      </c>
      <c r="F213" s="88" t="e">
        <f>Lead!#REF!</f>
        <v>#REF!</v>
      </c>
      <c r="G213" s="102" t="e">
        <f>ROUND(F213*E213/1000,2)</f>
        <v>#REF!</v>
      </c>
    </row>
    <row r="214" spans="1:7" hidden="1">
      <c r="A214" s="171"/>
      <c r="B214" s="160"/>
      <c r="C214" s="173" t="s">
        <v>278</v>
      </c>
      <c r="D214" s="176" t="s">
        <v>290</v>
      </c>
      <c r="E214" s="128">
        <v>0.1</v>
      </c>
      <c r="F214" s="88" t="e">
        <f>G155</f>
        <v>#REF!</v>
      </c>
      <c r="G214" s="102" t="e">
        <f>ROUND(F214*E214,2)</f>
        <v>#REF!</v>
      </c>
    </row>
    <row r="215" spans="1:7" hidden="1">
      <c r="A215" s="171"/>
      <c r="B215" s="160"/>
      <c r="C215" s="170" t="s">
        <v>120</v>
      </c>
      <c r="D215" s="176"/>
      <c r="E215" s="128"/>
      <c r="F215" s="88"/>
      <c r="G215" s="100"/>
    </row>
    <row r="216" spans="1:7" hidden="1">
      <c r="A216" s="171"/>
      <c r="B216" s="160"/>
      <c r="C216" s="173" t="s">
        <v>279</v>
      </c>
      <c r="D216" s="176" t="s">
        <v>18</v>
      </c>
      <c r="E216" s="128">
        <v>0.42</v>
      </c>
      <c r="F216" s="88">
        <f>Lead!R26</f>
        <v>0</v>
      </c>
      <c r="G216" s="102">
        <f>ROUND(F216*E216,2)</f>
        <v>0</v>
      </c>
    </row>
    <row r="217" spans="1:7" hidden="1">
      <c r="A217" s="171"/>
      <c r="B217" s="160"/>
      <c r="C217" s="173" t="s">
        <v>121</v>
      </c>
      <c r="D217" s="176" t="s">
        <v>18</v>
      </c>
      <c r="E217" s="128">
        <v>0.92</v>
      </c>
      <c r="F217" s="88">
        <f>Lead!R27</f>
        <v>0</v>
      </c>
      <c r="G217" s="102">
        <f>ROUND(F217*E217,2)</f>
        <v>0</v>
      </c>
    </row>
    <row r="218" spans="1:7" hidden="1">
      <c r="A218" s="171"/>
      <c r="B218" s="160"/>
      <c r="C218" s="173" t="s">
        <v>33</v>
      </c>
      <c r="D218" s="176" t="s">
        <v>18</v>
      </c>
      <c r="E218" s="128">
        <v>0.7</v>
      </c>
      <c r="F218" s="88">
        <f>Lead!R24</f>
        <v>445</v>
      </c>
      <c r="G218" s="102">
        <f>ROUND(F218*E218,2)</f>
        <v>311.5</v>
      </c>
    </row>
    <row r="219" spans="1:7" hidden="1">
      <c r="A219" s="171"/>
      <c r="B219" s="160"/>
      <c r="C219" s="173" t="s">
        <v>280</v>
      </c>
      <c r="D219" s="176" t="s">
        <v>18</v>
      </c>
      <c r="E219" s="128">
        <v>2.1</v>
      </c>
      <c r="F219" s="88">
        <f>Lead!R25</f>
        <v>0</v>
      </c>
      <c r="G219" s="102">
        <f>ROUND(F219*E219,2)</f>
        <v>0</v>
      </c>
    </row>
    <row r="220" spans="1:7" s="154" customFormat="1" hidden="1">
      <c r="A220" s="151"/>
      <c r="B220" s="152"/>
      <c r="C220" s="153" t="s">
        <v>315</v>
      </c>
      <c r="D220" s="125"/>
      <c r="E220" s="125">
        <f>Lead!Q26</f>
        <v>0.4</v>
      </c>
      <c r="F220" s="91">
        <f>SUM(G216:G219)</f>
        <v>311.5</v>
      </c>
      <c r="G220" s="92">
        <f>ROUND(F220*E220,2)</f>
        <v>124.6</v>
      </c>
    </row>
    <row r="221" spans="1:7" hidden="1">
      <c r="A221" s="171"/>
      <c r="B221" s="160"/>
      <c r="C221" s="146" t="s">
        <v>297</v>
      </c>
      <c r="D221" s="176"/>
      <c r="E221" s="128"/>
      <c r="F221" s="88" t="s">
        <v>154</v>
      </c>
      <c r="G221" s="101" t="e">
        <f>SUM(G213:G220)</f>
        <v>#REF!</v>
      </c>
    </row>
    <row r="222" spans="1:7" s="165" customFormat="1" hidden="1">
      <c r="A222" s="178"/>
      <c r="B222" s="164"/>
      <c r="C222" s="159"/>
      <c r="D222" s="174"/>
      <c r="E222" s="127"/>
      <c r="F222" s="98"/>
      <c r="G222" s="103"/>
    </row>
    <row r="223" spans="1:7" ht="25.5" hidden="1">
      <c r="A223" s="144" t="s">
        <v>5</v>
      </c>
      <c r="B223" s="160">
        <v>13</v>
      </c>
      <c r="C223" s="146" t="s">
        <v>37</v>
      </c>
      <c r="D223" s="150"/>
      <c r="E223" s="123"/>
      <c r="F223" s="88"/>
      <c r="G223" s="90"/>
    </row>
    <row r="224" spans="1:7" hidden="1">
      <c r="A224" s="162"/>
      <c r="B224" s="160"/>
      <c r="C224" s="149" t="s">
        <v>90</v>
      </c>
      <c r="D224" s="150"/>
      <c r="E224" s="123"/>
      <c r="F224" s="88"/>
      <c r="G224" s="90"/>
    </row>
    <row r="225" spans="1:7" hidden="1">
      <c r="A225" s="162"/>
      <c r="B225" s="160"/>
      <c r="C225" s="149" t="s">
        <v>12</v>
      </c>
      <c r="D225" s="150"/>
      <c r="E225" s="123"/>
      <c r="F225" s="88"/>
      <c r="G225" s="90"/>
    </row>
    <row r="226" spans="1:7" hidden="1">
      <c r="A226" s="162"/>
      <c r="B226" s="160"/>
      <c r="C226" s="149" t="s">
        <v>107</v>
      </c>
      <c r="D226" s="150" t="s">
        <v>91</v>
      </c>
      <c r="E226" s="123">
        <v>48</v>
      </c>
      <c r="F226" s="88" t="e">
        <f>Lead!R8</f>
        <v>#REF!</v>
      </c>
      <c r="G226" s="90" t="e">
        <f>ROUND(E226*F226/1000,2)</f>
        <v>#REF!</v>
      </c>
    </row>
    <row r="227" spans="1:7" hidden="1">
      <c r="A227" s="162"/>
      <c r="B227" s="160"/>
      <c r="C227" s="149" t="s">
        <v>35</v>
      </c>
      <c r="D227" s="150" t="s">
        <v>10</v>
      </c>
      <c r="E227" s="123">
        <v>512</v>
      </c>
      <c r="F227" s="88">
        <f>Lead!R15</f>
        <v>6559.12</v>
      </c>
      <c r="G227" s="90">
        <f>ROUND(E227*F227/1000,2)</f>
        <v>3358.27</v>
      </c>
    </row>
    <row r="228" spans="1:7" hidden="1">
      <c r="A228" s="162"/>
      <c r="B228" s="160"/>
      <c r="C228" s="149" t="s">
        <v>85</v>
      </c>
      <c r="D228" s="150" t="s">
        <v>290</v>
      </c>
      <c r="E228" s="123">
        <v>0.2</v>
      </c>
      <c r="F228" s="88">
        <f>Lead!R10</f>
        <v>2474.56</v>
      </c>
      <c r="G228" s="90">
        <f>ROUND(E228*F228,2)</f>
        <v>494.91</v>
      </c>
    </row>
    <row r="229" spans="1:7" hidden="1">
      <c r="A229" s="162"/>
      <c r="B229" s="160"/>
      <c r="C229" s="149" t="s">
        <v>86</v>
      </c>
      <c r="D229" s="150"/>
      <c r="E229" s="123"/>
      <c r="F229" s="88"/>
      <c r="G229" s="90"/>
    </row>
    <row r="230" spans="1:7" ht="15" hidden="1">
      <c r="A230" s="162"/>
      <c r="B230" s="160"/>
      <c r="C230" s="149" t="s">
        <v>345</v>
      </c>
      <c r="D230" s="150" t="s">
        <v>18</v>
      </c>
      <c r="E230" s="123">
        <v>0.24</v>
      </c>
      <c r="F230" s="88">
        <f>Lead!R26</f>
        <v>0</v>
      </c>
      <c r="G230" s="90">
        <f>ROUND(E230*F230,2)</f>
        <v>0</v>
      </c>
    </row>
    <row r="231" spans="1:7" ht="15" hidden="1">
      <c r="A231" s="162"/>
      <c r="B231" s="160"/>
      <c r="C231" s="149" t="s">
        <v>347</v>
      </c>
      <c r="D231" s="150" t="s">
        <v>18</v>
      </c>
      <c r="E231" s="123">
        <v>0.56000000000000005</v>
      </c>
      <c r="F231" s="88">
        <f>Lead!R27</f>
        <v>0</v>
      </c>
      <c r="G231" s="90">
        <f>ROUND(E231*F231,2)</f>
        <v>0</v>
      </c>
    </row>
    <row r="232" spans="1:7" hidden="1">
      <c r="A232" s="162"/>
      <c r="B232" s="160"/>
      <c r="C232" s="149" t="s">
        <v>87</v>
      </c>
      <c r="D232" s="150" t="s">
        <v>18</v>
      </c>
      <c r="E232" s="123">
        <v>1.89</v>
      </c>
      <c r="F232" s="88">
        <f>Lead!R24</f>
        <v>445</v>
      </c>
      <c r="G232" s="90">
        <f>ROUND(E232*F232,2)</f>
        <v>841.05</v>
      </c>
    </row>
    <row r="233" spans="1:7" s="154" customFormat="1" hidden="1">
      <c r="A233" s="151"/>
      <c r="B233" s="152"/>
      <c r="C233" s="153" t="s">
        <v>315</v>
      </c>
      <c r="D233" s="125"/>
      <c r="E233" s="125">
        <f>Lead!Q26</f>
        <v>0.4</v>
      </c>
      <c r="F233" s="91">
        <f>SUM(G230:G232)</f>
        <v>841.05</v>
      </c>
      <c r="G233" s="92">
        <f>ROUND(F233*E233,2)</f>
        <v>336.42</v>
      </c>
    </row>
    <row r="234" spans="1:7" hidden="1">
      <c r="A234" s="162"/>
      <c r="B234" s="160"/>
      <c r="C234" s="149" t="s">
        <v>19</v>
      </c>
      <c r="D234" s="150"/>
      <c r="E234" s="123"/>
      <c r="F234" s="88" t="s">
        <v>154</v>
      </c>
      <c r="G234" s="96" t="e">
        <f>SUM(G226:G233)</f>
        <v>#REF!</v>
      </c>
    </row>
    <row r="235" spans="1:7" s="165" customFormat="1" hidden="1">
      <c r="A235" s="179" t="s">
        <v>282</v>
      </c>
      <c r="B235" s="164">
        <v>14</v>
      </c>
      <c r="C235" s="170" t="s">
        <v>283</v>
      </c>
      <c r="D235" s="174"/>
      <c r="E235" s="127"/>
      <c r="F235" s="98"/>
      <c r="G235" s="102"/>
    </row>
    <row r="236" spans="1:7" s="165" customFormat="1" hidden="1">
      <c r="A236" s="178"/>
      <c r="B236" s="164"/>
      <c r="C236" s="170" t="s">
        <v>38</v>
      </c>
      <c r="D236" s="174"/>
      <c r="E236" s="127"/>
      <c r="F236" s="98"/>
      <c r="G236" s="102"/>
    </row>
    <row r="237" spans="1:7" s="165" customFormat="1" hidden="1">
      <c r="A237" s="178"/>
      <c r="B237" s="164"/>
      <c r="C237" s="170" t="s">
        <v>12</v>
      </c>
      <c r="D237" s="174"/>
      <c r="E237" s="127"/>
      <c r="F237" s="98"/>
      <c r="G237" s="102"/>
    </row>
    <row r="238" spans="1:7" s="165" customFormat="1" hidden="1">
      <c r="A238" s="178"/>
      <c r="B238" s="164"/>
      <c r="C238" s="173" t="s">
        <v>284</v>
      </c>
      <c r="D238" s="174" t="s">
        <v>290</v>
      </c>
      <c r="E238" s="127">
        <v>0.15</v>
      </c>
      <c r="F238" s="98" t="e">
        <f>G145</f>
        <v>#REF!</v>
      </c>
      <c r="G238" s="102" t="e">
        <f>ROUND(F238*E238,2)</f>
        <v>#REF!</v>
      </c>
    </row>
    <row r="239" spans="1:7" s="165" customFormat="1" hidden="1">
      <c r="A239" s="178"/>
      <c r="B239" s="164"/>
      <c r="C239" s="170" t="s">
        <v>86</v>
      </c>
      <c r="D239" s="174"/>
      <c r="E239" s="127"/>
      <c r="F239" s="98"/>
      <c r="G239" s="102"/>
    </row>
    <row r="240" spans="1:7" s="165" customFormat="1" ht="15" hidden="1">
      <c r="A240" s="178"/>
      <c r="B240" s="164"/>
      <c r="C240" s="173" t="s">
        <v>345</v>
      </c>
      <c r="D240" s="174" t="s">
        <v>18</v>
      </c>
      <c r="E240" s="127">
        <v>0.6</v>
      </c>
      <c r="F240" s="88">
        <f>Lead!R26</f>
        <v>0</v>
      </c>
      <c r="G240" s="102">
        <f>ROUND(F240*E240,2)</f>
        <v>0</v>
      </c>
    </row>
    <row r="241" spans="1:7" s="165" customFormat="1" hidden="1">
      <c r="A241" s="178"/>
      <c r="B241" s="164"/>
      <c r="C241" s="173" t="s">
        <v>87</v>
      </c>
      <c r="D241" s="174" t="s">
        <v>18</v>
      </c>
      <c r="E241" s="127">
        <v>0.96</v>
      </c>
      <c r="F241" s="88">
        <f>Lead!R24</f>
        <v>445</v>
      </c>
      <c r="G241" s="102">
        <f>ROUND(F241*E241,2)</f>
        <v>427.2</v>
      </c>
    </row>
    <row r="242" spans="1:7" s="154" customFormat="1" hidden="1">
      <c r="A242" s="151"/>
      <c r="B242" s="152"/>
      <c r="C242" s="153" t="s">
        <v>315</v>
      </c>
      <c r="D242" s="125"/>
      <c r="E242" s="125">
        <f>Lead!Q26</f>
        <v>0.4</v>
      </c>
      <c r="F242" s="91">
        <f>SUM(G240:G241)</f>
        <v>427.2</v>
      </c>
      <c r="G242" s="92">
        <f>ROUND(F242*E242,2)</f>
        <v>170.88</v>
      </c>
    </row>
    <row r="243" spans="1:7" hidden="1">
      <c r="A243" s="171"/>
      <c r="B243" s="160"/>
      <c r="C243" s="146" t="s">
        <v>287</v>
      </c>
      <c r="D243" s="176"/>
      <c r="E243" s="128"/>
      <c r="F243" s="88" t="s">
        <v>154</v>
      </c>
      <c r="G243" s="101" t="e">
        <f>SUM(G237:G242)</f>
        <v>#REF!</v>
      </c>
    </row>
    <row r="244" spans="1:7" s="165" customFormat="1" hidden="1">
      <c r="A244" s="179" t="s">
        <v>285</v>
      </c>
      <c r="B244" s="164">
        <v>15</v>
      </c>
      <c r="C244" s="170" t="s">
        <v>286</v>
      </c>
      <c r="D244" s="174"/>
      <c r="E244" s="127"/>
      <c r="F244" s="98"/>
      <c r="G244" s="103"/>
    </row>
    <row r="245" spans="1:7" s="165" customFormat="1" hidden="1">
      <c r="A245" s="178"/>
      <c r="B245" s="164"/>
      <c r="C245" s="170" t="s">
        <v>38</v>
      </c>
      <c r="D245" s="174"/>
      <c r="E245" s="127"/>
      <c r="F245" s="98"/>
      <c r="G245" s="103"/>
    </row>
    <row r="246" spans="1:7" s="165" customFormat="1" hidden="1">
      <c r="A246" s="178"/>
      <c r="B246" s="164"/>
      <c r="C246" s="170" t="s">
        <v>12</v>
      </c>
      <c r="D246" s="174"/>
      <c r="E246" s="127"/>
      <c r="F246" s="98"/>
      <c r="G246" s="102"/>
    </row>
    <row r="247" spans="1:7" s="165" customFormat="1" hidden="1">
      <c r="A247" s="178"/>
      <c r="B247" s="164"/>
      <c r="C247" s="173" t="s">
        <v>284</v>
      </c>
      <c r="D247" s="174" t="s">
        <v>290</v>
      </c>
      <c r="E247" s="127">
        <v>0.21</v>
      </c>
      <c r="F247" s="98" t="e">
        <f>G145</f>
        <v>#REF!</v>
      </c>
      <c r="G247" s="102" t="e">
        <f>ROUND(F247*E247,2)</f>
        <v>#REF!</v>
      </c>
    </row>
    <row r="248" spans="1:7" s="165" customFormat="1" hidden="1">
      <c r="A248" s="178"/>
      <c r="B248" s="164"/>
      <c r="C248" s="170" t="s">
        <v>86</v>
      </c>
      <c r="D248" s="174"/>
      <c r="E248" s="127"/>
      <c r="F248" s="98"/>
      <c r="G248" s="102"/>
    </row>
    <row r="249" spans="1:7" s="165" customFormat="1" ht="15" hidden="1">
      <c r="A249" s="178"/>
      <c r="B249" s="164"/>
      <c r="C249" s="173" t="s">
        <v>347</v>
      </c>
      <c r="D249" s="174" t="s">
        <v>18</v>
      </c>
      <c r="E249" s="127">
        <v>0.94</v>
      </c>
      <c r="F249" s="88">
        <f>Lead!R27</f>
        <v>0</v>
      </c>
      <c r="G249" s="102">
        <f>ROUND(F249*E249,2)</f>
        <v>0</v>
      </c>
    </row>
    <row r="250" spans="1:7" s="165" customFormat="1" hidden="1">
      <c r="A250" s="178"/>
      <c r="B250" s="164"/>
      <c r="C250" s="173" t="s">
        <v>87</v>
      </c>
      <c r="D250" s="174" t="s">
        <v>18</v>
      </c>
      <c r="E250" s="127">
        <v>1.6</v>
      </c>
      <c r="F250" s="88">
        <f>Lead!R24</f>
        <v>445</v>
      </c>
      <c r="G250" s="102">
        <f>ROUND(F250*E250,2)</f>
        <v>712</v>
      </c>
    </row>
    <row r="251" spans="1:7" s="154" customFormat="1" hidden="1">
      <c r="A251" s="151"/>
      <c r="B251" s="152"/>
      <c r="C251" s="153" t="s">
        <v>315</v>
      </c>
      <c r="D251" s="125"/>
      <c r="E251" s="125">
        <f>Lead!Q26</f>
        <v>0.4</v>
      </c>
      <c r="F251" s="91">
        <f>SUM(G249:G250)</f>
        <v>712</v>
      </c>
      <c r="G251" s="92">
        <f>ROUND(F251*E251,2)</f>
        <v>284.8</v>
      </c>
    </row>
    <row r="252" spans="1:7" hidden="1">
      <c r="A252" s="171"/>
      <c r="B252" s="160"/>
      <c r="C252" s="146" t="s">
        <v>287</v>
      </c>
      <c r="D252" s="176"/>
      <c r="E252" s="128"/>
      <c r="F252" s="88" t="s">
        <v>154</v>
      </c>
      <c r="G252" s="101" t="e">
        <f>SUM(G247:G251)</f>
        <v>#REF!</v>
      </c>
    </row>
    <row r="253" spans="1:7" s="143" customFormat="1" hidden="1">
      <c r="A253" s="144" t="s">
        <v>265</v>
      </c>
      <c r="B253" s="145"/>
      <c r="C253" s="146" t="s">
        <v>266</v>
      </c>
      <c r="D253" s="147"/>
      <c r="E253" s="123"/>
      <c r="F253" s="88"/>
      <c r="G253" s="111"/>
    </row>
    <row r="254" spans="1:7" s="143" customFormat="1" ht="25.5" hidden="1">
      <c r="A254" s="155" t="s">
        <v>403</v>
      </c>
      <c r="B254" s="145">
        <v>18</v>
      </c>
      <c r="C254" s="149" t="s">
        <v>131</v>
      </c>
      <c r="D254" s="147">
        <v>1</v>
      </c>
      <c r="E254" s="123">
        <v>1</v>
      </c>
      <c r="F254" s="88">
        <v>181</v>
      </c>
      <c r="G254" s="90">
        <f>ROUND(F254*E254,2)</f>
        <v>181</v>
      </c>
    </row>
    <row r="255" spans="1:7" s="157" customFormat="1" ht="25.5" hidden="1">
      <c r="A255" s="155"/>
      <c r="B255" s="145"/>
      <c r="C255" s="146" t="s">
        <v>398</v>
      </c>
      <c r="D255" s="156"/>
      <c r="E255" s="123">
        <f>G254</f>
        <v>181</v>
      </c>
      <c r="F255" s="88">
        <f>Lead!Q27</f>
        <v>0.13614999999999999</v>
      </c>
      <c r="G255" s="90">
        <f>ROUND(F255*E255,2)</f>
        <v>24.64</v>
      </c>
    </row>
    <row r="256" spans="1:7" s="157" customFormat="1" hidden="1">
      <c r="A256" s="155"/>
      <c r="B256" s="145"/>
      <c r="C256" s="146" t="s">
        <v>237</v>
      </c>
      <c r="D256" s="156"/>
      <c r="E256" s="123"/>
      <c r="F256" s="88"/>
      <c r="G256" s="112">
        <f>SUM(G254:G255)</f>
        <v>205.64</v>
      </c>
    </row>
    <row r="257" spans="1:7" s="143" customFormat="1" ht="25.5" hidden="1">
      <c r="A257" s="155" t="s">
        <v>404</v>
      </c>
      <c r="B257" s="145">
        <v>19</v>
      </c>
      <c r="C257" s="149" t="s">
        <v>132</v>
      </c>
      <c r="D257" s="147">
        <v>1</v>
      </c>
      <c r="E257" s="123">
        <v>1</v>
      </c>
      <c r="F257" s="88">
        <v>314</v>
      </c>
      <c r="G257" s="90">
        <f>ROUND(F257*E257,2)</f>
        <v>314</v>
      </c>
    </row>
    <row r="258" spans="1:7" s="157" customFormat="1" ht="25.5" hidden="1">
      <c r="A258" s="155"/>
      <c r="B258" s="145"/>
      <c r="C258" s="146" t="s">
        <v>398</v>
      </c>
      <c r="D258" s="156"/>
      <c r="E258" s="123">
        <f>G257</f>
        <v>314</v>
      </c>
      <c r="F258" s="88">
        <f>Lead!Q27</f>
        <v>0.13614999999999999</v>
      </c>
      <c r="G258" s="90">
        <f>ROUND(F258*E258,2)</f>
        <v>42.75</v>
      </c>
    </row>
    <row r="259" spans="1:7" s="157" customFormat="1" hidden="1">
      <c r="A259" s="155"/>
      <c r="B259" s="145"/>
      <c r="C259" s="146" t="s">
        <v>237</v>
      </c>
      <c r="D259" s="156"/>
      <c r="E259" s="123"/>
      <c r="F259" s="88" t="s">
        <v>154</v>
      </c>
      <c r="G259" s="96">
        <f>SUM(G257:G258)</f>
        <v>356.75</v>
      </c>
    </row>
    <row r="260" spans="1:7" s="143" customFormat="1" ht="25.5" hidden="1">
      <c r="A260" s="155" t="s">
        <v>405</v>
      </c>
      <c r="B260" s="145">
        <v>20</v>
      </c>
      <c r="C260" s="149" t="s">
        <v>133</v>
      </c>
      <c r="D260" s="147">
        <v>1</v>
      </c>
      <c r="E260" s="123">
        <v>1</v>
      </c>
      <c r="F260" s="88">
        <v>485</v>
      </c>
      <c r="G260" s="90">
        <f>ROUND(F260*E260,2)</f>
        <v>485</v>
      </c>
    </row>
    <row r="261" spans="1:7" s="157" customFormat="1" ht="25.5" hidden="1">
      <c r="A261" s="155"/>
      <c r="B261" s="145"/>
      <c r="C261" s="146" t="s">
        <v>398</v>
      </c>
      <c r="D261" s="156"/>
      <c r="E261" s="123">
        <f>G260</f>
        <v>485</v>
      </c>
      <c r="F261" s="88">
        <f>Lead!Q27</f>
        <v>0.13614999999999999</v>
      </c>
      <c r="G261" s="90">
        <f>ROUND(F261*E261,2)</f>
        <v>66.03</v>
      </c>
    </row>
    <row r="262" spans="1:7" s="157" customFormat="1" hidden="1">
      <c r="A262" s="155"/>
      <c r="B262" s="145"/>
      <c r="C262" s="146" t="s">
        <v>237</v>
      </c>
      <c r="D262" s="156"/>
      <c r="E262" s="123"/>
      <c r="F262" s="88" t="s">
        <v>154</v>
      </c>
      <c r="G262" s="96">
        <f>SUM(G260:G261)</f>
        <v>551.03</v>
      </c>
    </row>
    <row r="263" spans="1:7" s="143" customFormat="1" ht="25.5" hidden="1">
      <c r="A263" s="155" t="s">
        <v>406</v>
      </c>
      <c r="B263" s="145">
        <v>21</v>
      </c>
      <c r="C263" s="149" t="s">
        <v>144</v>
      </c>
      <c r="D263" s="147">
        <v>1</v>
      </c>
      <c r="E263" s="123">
        <v>1</v>
      </c>
      <c r="F263" s="88">
        <v>888</v>
      </c>
      <c r="G263" s="90">
        <f>ROUND(F263*E263,2)</f>
        <v>888</v>
      </c>
    </row>
    <row r="264" spans="1:7" s="157" customFormat="1" ht="25.5" hidden="1">
      <c r="A264" s="155"/>
      <c r="B264" s="145"/>
      <c r="C264" s="146" t="s">
        <v>398</v>
      </c>
      <c r="D264" s="156"/>
      <c r="E264" s="123">
        <f>G263</f>
        <v>888</v>
      </c>
      <c r="F264" s="88">
        <f>Lead!Q27</f>
        <v>0.13614999999999999</v>
      </c>
      <c r="G264" s="90">
        <f>ROUND(F264*E264,2)</f>
        <v>120.9</v>
      </c>
    </row>
    <row r="265" spans="1:7" s="157" customFormat="1" hidden="1">
      <c r="A265" s="155"/>
      <c r="B265" s="145"/>
      <c r="C265" s="146" t="s">
        <v>237</v>
      </c>
      <c r="D265" s="156"/>
      <c r="E265" s="123"/>
      <c r="F265" s="88" t="s">
        <v>154</v>
      </c>
      <c r="G265" s="96">
        <f>SUM(G263:G264)</f>
        <v>1008.9</v>
      </c>
    </row>
    <row r="266" spans="1:7" s="143" customFormat="1" ht="25.5" hidden="1">
      <c r="A266" s="155" t="s">
        <v>407</v>
      </c>
      <c r="B266" s="145">
        <v>22</v>
      </c>
      <c r="C266" s="149" t="s">
        <v>145</v>
      </c>
      <c r="D266" s="147">
        <v>1</v>
      </c>
      <c r="E266" s="123">
        <v>1</v>
      </c>
      <c r="F266" s="88">
        <v>1280</v>
      </c>
      <c r="G266" s="90">
        <f>ROUND(F266*E266,2)</f>
        <v>1280</v>
      </c>
    </row>
    <row r="267" spans="1:7" s="157" customFormat="1" ht="25.5" hidden="1">
      <c r="A267" s="155"/>
      <c r="B267" s="145"/>
      <c r="C267" s="146" t="s">
        <v>398</v>
      </c>
      <c r="D267" s="156"/>
      <c r="E267" s="123">
        <f>G266</f>
        <v>1280</v>
      </c>
      <c r="F267" s="88">
        <f>Lead!Q27</f>
        <v>0.13614999999999999</v>
      </c>
      <c r="G267" s="90">
        <f>ROUND(F267*E267,2)</f>
        <v>174.27</v>
      </c>
    </row>
    <row r="268" spans="1:7" s="157" customFormat="1" hidden="1">
      <c r="A268" s="155"/>
      <c r="B268" s="145"/>
      <c r="C268" s="146" t="s">
        <v>237</v>
      </c>
      <c r="D268" s="156"/>
      <c r="E268" s="123"/>
      <c r="F268" s="88" t="s">
        <v>154</v>
      </c>
      <c r="G268" s="96">
        <f>SUM(G266:G267)</f>
        <v>1454.27</v>
      </c>
    </row>
    <row r="269" spans="1:7" s="143" customFormat="1" ht="25.5" hidden="1">
      <c r="A269" s="155" t="s">
        <v>408</v>
      </c>
      <c r="B269" s="145">
        <v>23</v>
      </c>
      <c r="C269" s="149" t="s">
        <v>146</v>
      </c>
      <c r="D269" s="147">
        <v>1</v>
      </c>
      <c r="E269" s="123">
        <v>1</v>
      </c>
      <c r="F269" s="88">
        <v>1742</v>
      </c>
      <c r="G269" s="90">
        <f>ROUND(F269*E269,2)</f>
        <v>1742</v>
      </c>
    </row>
    <row r="270" spans="1:7" s="157" customFormat="1" ht="25.5" hidden="1">
      <c r="A270" s="155"/>
      <c r="B270" s="145"/>
      <c r="C270" s="146" t="s">
        <v>398</v>
      </c>
      <c r="D270" s="156"/>
      <c r="E270" s="123">
        <f>G269</f>
        <v>1742</v>
      </c>
      <c r="F270" s="88">
        <f>Lead!Q27</f>
        <v>0.13614999999999999</v>
      </c>
      <c r="G270" s="90">
        <f>ROUND(F270*E270,2)</f>
        <v>237.17</v>
      </c>
    </row>
    <row r="271" spans="1:7" s="157" customFormat="1" hidden="1">
      <c r="A271" s="155"/>
      <c r="B271" s="145"/>
      <c r="C271" s="146" t="s">
        <v>237</v>
      </c>
      <c r="D271" s="156"/>
      <c r="E271" s="123"/>
      <c r="F271" s="88" t="s">
        <v>154</v>
      </c>
      <c r="G271" s="96">
        <f>SUM(G269:G270)</f>
        <v>1979.17</v>
      </c>
    </row>
    <row r="272" spans="1:7" s="165" customFormat="1" ht="76.5" hidden="1">
      <c r="A272" s="184" t="s">
        <v>174</v>
      </c>
      <c r="B272" s="164">
        <v>26</v>
      </c>
      <c r="C272" s="158" t="s">
        <v>175</v>
      </c>
      <c r="D272" s="185"/>
      <c r="E272" s="127"/>
      <c r="F272" s="98"/>
      <c r="G272" s="102"/>
    </row>
    <row r="273" spans="1:7" s="165" customFormat="1" hidden="1">
      <c r="A273" s="179"/>
      <c r="B273" s="164"/>
      <c r="C273" s="158" t="s">
        <v>176</v>
      </c>
      <c r="D273" s="185"/>
      <c r="E273" s="127"/>
      <c r="F273" s="98"/>
      <c r="G273" s="102"/>
    </row>
    <row r="274" spans="1:7" s="165" customFormat="1" hidden="1">
      <c r="A274" s="179"/>
      <c r="B274" s="164" t="s">
        <v>177</v>
      </c>
      <c r="C274" s="159" t="s">
        <v>178</v>
      </c>
      <c r="D274" s="185"/>
      <c r="E274" s="127"/>
      <c r="F274" s="98"/>
      <c r="G274" s="102"/>
    </row>
    <row r="275" spans="1:7" s="165" customFormat="1" hidden="1">
      <c r="A275" s="179"/>
      <c r="B275" s="164"/>
      <c r="C275" s="159" t="s">
        <v>179</v>
      </c>
      <c r="D275" s="185"/>
      <c r="E275" s="127"/>
      <c r="F275" s="98"/>
      <c r="G275" s="102"/>
    </row>
    <row r="276" spans="1:7" s="165" customFormat="1" ht="15" hidden="1">
      <c r="A276" s="179"/>
      <c r="B276" s="164"/>
      <c r="C276" s="158" t="s">
        <v>345</v>
      </c>
      <c r="D276" s="185" t="s">
        <v>18</v>
      </c>
      <c r="E276" s="127">
        <v>0.6</v>
      </c>
      <c r="F276" s="98">
        <f>Lead!R26</f>
        <v>0</v>
      </c>
      <c r="G276" s="102">
        <f>ROUND(F276*E276,2)</f>
        <v>0</v>
      </c>
    </row>
    <row r="277" spans="1:7" s="165" customFormat="1" ht="15" hidden="1">
      <c r="A277" s="179"/>
      <c r="B277" s="164"/>
      <c r="C277" s="158" t="s">
        <v>347</v>
      </c>
      <c r="D277" s="185" t="s">
        <v>18</v>
      </c>
      <c r="E277" s="127">
        <v>1.4</v>
      </c>
      <c r="F277" s="98">
        <f>Lead!R27</f>
        <v>0</v>
      </c>
      <c r="G277" s="102">
        <f>ROUND(F277*E277,2)</f>
        <v>0</v>
      </c>
    </row>
    <row r="278" spans="1:7" s="165" customFormat="1" hidden="1">
      <c r="A278" s="179"/>
      <c r="B278" s="164"/>
      <c r="C278" s="158" t="s">
        <v>243</v>
      </c>
      <c r="D278" s="185" t="s">
        <v>18</v>
      </c>
      <c r="E278" s="127">
        <v>3</v>
      </c>
      <c r="F278" s="98">
        <f>Lead!R24</f>
        <v>445</v>
      </c>
      <c r="G278" s="102">
        <f>ROUND(F278*E278,2)</f>
        <v>1335</v>
      </c>
    </row>
    <row r="279" spans="1:7" s="165" customFormat="1" hidden="1">
      <c r="A279" s="179"/>
      <c r="B279" s="164"/>
      <c r="C279" s="158" t="s">
        <v>180</v>
      </c>
      <c r="D279" s="185" t="s">
        <v>18</v>
      </c>
      <c r="E279" s="127">
        <v>1</v>
      </c>
      <c r="F279" s="98">
        <f>Lead!R25</f>
        <v>0</v>
      </c>
      <c r="G279" s="102">
        <f>ROUND(F279*E279,2)</f>
        <v>0</v>
      </c>
    </row>
    <row r="280" spans="1:7" s="165" customFormat="1" hidden="1">
      <c r="A280" s="179"/>
      <c r="B280" s="164"/>
      <c r="C280" s="153" t="s">
        <v>315</v>
      </c>
      <c r="D280" s="125"/>
      <c r="E280" s="125">
        <f>Lead!Q26</f>
        <v>0.4</v>
      </c>
      <c r="F280" s="91">
        <f>SUM(G276:G279)</f>
        <v>1335</v>
      </c>
      <c r="G280" s="92">
        <f>ROUND(F280*E280,2)</f>
        <v>534</v>
      </c>
    </row>
    <row r="281" spans="1:7" s="165" customFormat="1" hidden="1">
      <c r="A281" s="179"/>
      <c r="B281" s="164"/>
      <c r="C281" s="159" t="s">
        <v>245</v>
      </c>
      <c r="D281" s="185"/>
      <c r="E281" s="127"/>
      <c r="F281" s="98"/>
      <c r="G281" s="102"/>
    </row>
    <row r="282" spans="1:7" s="165" customFormat="1" ht="25.5" hidden="1">
      <c r="A282" s="179"/>
      <c r="B282" s="164"/>
      <c r="C282" s="158" t="s">
        <v>181</v>
      </c>
      <c r="D282" s="185" t="s">
        <v>182</v>
      </c>
      <c r="E282" s="127">
        <v>50</v>
      </c>
      <c r="F282" s="98">
        <v>0</v>
      </c>
      <c r="G282" s="102">
        <f>ROUND(F282*E282,2)</f>
        <v>0</v>
      </c>
    </row>
    <row r="283" spans="1:7" s="165" customFormat="1" hidden="1">
      <c r="A283" s="179"/>
      <c r="B283" s="164"/>
      <c r="C283" s="158" t="s">
        <v>183</v>
      </c>
      <c r="D283" s="185" t="s">
        <v>184</v>
      </c>
      <c r="E283" s="127">
        <v>6.5000000000000002E-2</v>
      </c>
      <c r="F283" s="98" t="e">
        <f>Lead!R8</f>
        <v>#REF!</v>
      </c>
      <c r="G283" s="102" t="e">
        <f>ROUND(F283*E283,2)</f>
        <v>#REF!</v>
      </c>
    </row>
    <row r="284" spans="1:7" s="165" customFormat="1" hidden="1">
      <c r="A284" s="179"/>
      <c r="B284" s="164"/>
      <c r="C284" s="158" t="s">
        <v>185</v>
      </c>
      <c r="D284" s="185" t="s">
        <v>290</v>
      </c>
      <c r="E284" s="127">
        <v>4.4999999999999998E-2</v>
      </c>
      <c r="F284" s="98">
        <f>Lead!R10</f>
        <v>2474.56</v>
      </c>
      <c r="G284" s="102">
        <f>ROUND(F284*E284,2)</f>
        <v>111.36</v>
      </c>
    </row>
    <row r="285" spans="1:7" s="165" customFormat="1" ht="27" hidden="1">
      <c r="A285" s="282" t="s">
        <v>438</v>
      </c>
      <c r="B285" s="164"/>
      <c r="C285" s="158" t="s">
        <v>186</v>
      </c>
      <c r="D285" s="185" t="s">
        <v>125</v>
      </c>
      <c r="E285" s="127">
        <v>4.5</v>
      </c>
      <c r="F285" s="98">
        <v>134</v>
      </c>
      <c r="G285" s="102">
        <f>ROUND(F285*E285,2)</f>
        <v>603</v>
      </c>
    </row>
    <row r="286" spans="1:7" s="165" customFormat="1" hidden="1">
      <c r="A286" s="179"/>
      <c r="B286" s="164"/>
      <c r="C286" s="159" t="s">
        <v>187</v>
      </c>
      <c r="D286" s="185"/>
      <c r="E286" s="127"/>
      <c r="F286" s="98"/>
      <c r="G286" s="102" t="e">
        <f>SUM(G276:G285)</f>
        <v>#REF!</v>
      </c>
    </row>
    <row r="287" spans="1:7" s="165" customFormat="1" ht="25.5" hidden="1">
      <c r="A287" s="179"/>
      <c r="B287" s="164"/>
      <c r="C287" s="159" t="s">
        <v>188</v>
      </c>
      <c r="D287" s="185"/>
      <c r="E287" s="127">
        <f>SUM(G276:G279)</f>
        <v>1335</v>
      </c>
      <c r="F287" s="98">
        <v>0.01</v>
      </c>
      <c r="G287" s="102"/>
    </row>
    <row r="288" spans="1:7" s="165" customFormat="1" hidden="1">
      <c r="A288" s="179"/>
      <c r="B288" s="164"/>
      <c r="C288" s="159" t="s">
        <v>189</v>
      </c>
      <c r="D288" s="185"/>
      <c r="E288" s="127"/>
      <c r="F288" s="98"/>
      <c r="G288" s="102" t="e">
        <f>SUM(G286:G287)</f>
        <v>#REF!</v>
      </c>
    </row>
    <row r="289" spans="1:7" s="165" customFormat="1" hidden="1">
      <c r="A289" s="179"/>
      <c r="B289" s="164"/>
      <c r="C289" s="183" t="s">
        <v>190</v>
      </c>
      <c r="D289" s="185"/>
      <c r="E289" s="275">
        <f>Lead!Q27</f>
        <v>0.13614999999999999</v>
      </c>
      <c r="F289" s="98" t="e">
        <f>G288</f>
        <v>#REF!</v>
      </c>
      <c r="G289" s="102" t="e">
        <f>ROUND(F289*E289,2)</f>
        <v>#REF!</v>
      </c>
    </row>
    <row r="290" spans="1:7" s="165" customFormat="1" hidden="1">
      <c r="A290" s="179"/>
      <c r="B290" s="164"/>
      <c r="C290" s="158" t="s">
        <v>191</v>
      </c>
      <c r="D290" s="185"/>
      <c r="E290" s="127"/>
      <c r="F290" s="98"/>
      <c r="G290" s="102" t="e">
        <f>SUM(G288:G289)</f>
        <v>#REF!</v>
      </c>
    </row>
    <row r="291" spans="1:7" s="165" customFormat="1" hidden="1">
      <c r="A291" s="179"/>
      <c r="B291" s="164"/>
      <c r="C291" s="159" t="s">
        <v>192</v>
      </c>
      <c r="D291" s="185"/>
      <c r="E291" s="127"/>
      <c r="F291" s="98" t="s">
        <v>154</v>
      </c>
      <c r="G291" s="101" t="e">
        <f>ROUND(G290/30,2)</f>
        <v>#REF!</v>
      </c>
    </row>
    <row r="292" spans="1:7" s="165" customFormat="1" hidden="1">
      <c r="A292" s="179"/>
      <c r="B292" s="164" t="s">
        <v>193</v>
      </c>
      <c r="C292" s="159" t="s">
        <v>194</v>
      </c>
      <c r="D292" s="185"/>
      <c r="E292" s="127"/>
      <c r="F292" s="98"/>
      <c r="G292" s="102"/>
    </row>
    <row r="293" spans="1:7" s="165" customFormat="1" hidden="1">
      <c r="A293" s="179"/>
      <c r="B293" s="164"/>
      <c r="C293" s="159" t="s">
        <v>179</v>
      </c>
      <c r="D293" s="185"/>
      <c r="E293" s="127"/>
      <c r="F293" s="98"/>
      <c r="G293" s="102"/>
    </row>
    <row r="294" spans="1:7" s="165" customFormat="1" ht="15" hidden="1">
      <c r="A294" s="179"/>
      <c r="B294" s="164"/>
      <c r="C294" s="158" t="s">
        <v>345</v>
      </c>
      <c r="D294" s="185" t="s">
        <v>18</v>
      </c>
      <c r="E294" s="127">
        <v>0.9</v>
      </c>
      <c r="F294" s="98">
        <f>Lead!R26</f>
        <v>0</v>
      </c>
      <c r="G294" s="102">
        <f>ROUND(F294*E294,2)</f>
        <v>0</v>
      </c>
    </row>
    <row r="295" spans="1:7" s="165" customFormat="1" ht="15" hidden="1">
      <c r="A295" s="179"/>
      <c r="B295" s="164"/>
      <c r="C295" s="158" t="s">
        <v>347</v>
      </c>
      <c r="D295" s="185" t="s">
        <v>18</v>
      </c>
      <c r="E295" s="127">
        <v>2.1</v>
      </c>
      <c r="F295" s="98">
        <f>Lead!R27</f>
        <v>0</v>
      </c>
      <c r="G295" s="102">
        <f>ROUND(F295*E295,2)</f>
        <v>0</v>
      </c>
    </row>
    <row r="296" spans="1:7" s="165" customFormat="1" hidden="1">
      <c r="A296" s="179"/>
      <c r="B296" s="164"/>
      <c r="C296" s="158" t="s">
        <v>243</v>
      </c>
      <c r="D296" s="185" t="s">
        <v>18</v>
      </c>
      <c r="E296" s="127">
        <v>4</v>
      </c>
      <c r="F296" s="98">
        <f>Lead!R24</f>
        <v>445</v>
      </c>
      <c r="G296" s="102">
        <f>ROUND(F296*E296,2)</f>
        <v>1780</v>
      </c>
    </row>
    <row r="297" spans="1:7" s="165" customFormat="1" hidden="1">
      <c r="A297" s="179"/>
      <c r="B297" s="164"/>
      <c r="C297" s="158" t="s">
        <v>180</v>
      </c>
      <c r="D297" s="185" t="s">
        <v>18</v>
      </c>
      <c r="E297" s="127">
        <v>1</v>
      </c>
      <c r="F297" s="98">
        <f>Lead!R25</f>
        <v>0</v>
      </c>
      <c r="G297" s="102">
        <f>ROUND(F297*E297,2)</f>
        <v>0</v>
      </c>
    </row>
    <row r="298" spans="1:7" s="165" customFormat="1" hidden="1">
      <c r="A298" s="179"/>
      <c r="B298" s="164"/>
      <c r="C298" s="153" t="s">
        <v>315</v>
      </c>
      <c r="D298" s="125"/>
      <c r="E298" s="125">
        <f>Lead!Q26</f>
        <v>0.4</v>
      </c>
      <c r="F298" s="91">
        <f>SUM(G294:G297)</f>
        <v>1780</v>
      </c>
      <c r="G298" s="92">
        <f>ROUND(F298*E298,2)</f>
        <v>712</v>
      </c>
    </row>
    <row r="299" spans="1:7" s="165" customFormat="1" hidden="1">
      <c r="A299" s="179"/>
      <c r="B299" s="164"/>
      <c r="C299" s="159" t="s">
        <v>245</v>
      </c>
      <c r="D299" s="185"/>
      <c r="E299" s="127"/>
      <c r="F299" s="98"/>
      <c r="G299" s="102"/>
    </row>
    <row r="300" spans="1:7" s="165" customFormat="1" hidden="1">
      <c r="A300" s="179"/>
      <c r="B300" s="164"/>
      <c r="C300" s="158" t="s">
        <v>195</v>
      </c>
      <c r="D300" s="185" t="s">
        <v>247</v>
      </c>
      <c r="E300" s="127">
        <v>50</v>
      </c>
      <c r="F300" s="98">
        <v>0</v>
      </c>
      <c r="G300" s="102">
        <f>ROUND(F300*E300,2)</f>
        <v>0</v>
      </c>
    </row>
    <row r="301" spans="1:7" s="165" customFormat="1" hidden="1">
      <c r="A301" s="179"/>
      <c r="B301" s="164"/>
      <c r="C301" s="158" t="s">
        <v>183</v>
      </c>
      <c r="D301" s="185" t="s">
        <v>96</v>
      </c>
      <c r="E301" s="127">
        <v>9.7000000000000003E-2</v>
      </c>
      <c r="F301" s="98" t="e">
        <f>Lead!R8</f>
        <v>#REF!</v>
      </c>
      <c r="G301" s="102" t="e">
        <f>ROUND(F301*E301,2)</f>
        <v>#REF!</v>
      </c>
    </row>
    <row r="302" spans="1:7" s="165" customFormat="1" hidden="1">
      <c r="A302" s="179"/>
      <c r="B302" s="164"/>
      <c r="C302" s="158" t="s">
        <v>185</v>
      </c>
      <c r="D302" s="185" t="s">
        <v>290</v>
      </c>
      <c r="E302" s="127">
        <v>6.8000000000000005E-2</v>
      </c>
      <c r="F302" s="98">
        <f>Lead!R10</f>
        <v>2474.56</v>
      </c>
      <c r="G302" s="102">
        <f>ROUND(F302*E302,2)</f>
        <v>168.27</v>
      </c>
    </row>
    <row r="303" spans="1:7" s="165" customFormat="1" hidden="1">
      <c r="A303" s="179"/>
      <c r="B303" s="164"/>
      <c r="C303" s="158" t="s">
        <v>186</v>
      </c>
      <c r="D303" s="185" t="s">
        <v>125</v>
      </c>
      <c r="E303" s="127">
        <v>9</v>
      </c>
      <c r="F303" s="98">
        <v>134</v>
      </c>
      <c r="G303" s="102">
        <f>ROUND(F303*E303,2)</f>
        <v>1206</v>
      </c>
    </row>
    <row r="304" spans="1:7" s="165" customFormat="1" hidden="1">
      <c r="A304" s="179"/>
      <c r="B304" s="164"/>
      <c r="C304" s="159" t="s">
        <v>187</v>
      </c>
      <c r="D304" s="185"/>
      <c r="E304" s="127"/>
      <c r="F304" s="98"/>
      <c r="G304" s="102" t="e">
        <f>SUM(G294:G303)</f>
        <v>#REF!</v>
      </c>
    </row>
    <row r="305" spans="1:7" s="165" customFormat="1" ht="25.5" hidden="1">
      <c r="A305" s="179"/>
      <c r="B305" s="164"/>
      <c r="C305" s="159" t="s">
        <v>188</v>
      </c>
      <c r="D305" s="185"/>
      <c r="E305" s="131">
        <f>Lead!Q27</f>
        <v>0.13614999999999999</v>
      </c>
      <c r="F305" s="98">
        <v>0.01</v>
      </c>
      <c r="G305" s="102">
        <f>ROUND(F305*E305,2)</f>
        <v>0</v>
      </c>
    </row>
    <row r="306" spans="1:7" s="165" customFormat="1" hidden="1">
      <c r="A306" s="179"/>
      <c r="B306" s="164"/>
      <c r="C306" s="159" t="s">
        <v>189</v>
      </c>
      <c r="D306" s="185"/>
      <c r="E306" s="127"/>
      <c r="F306" s="98"/>
      <c r="G306" s="102" t="e">
        <f>SUM(G304:G305)</f>
        <v>#REF!</v>
      </c>
    </row>
    <row r="307" spans="1:7" s="165" customFormat="1" hidden="1">
      <c r="A307" s="179"/>
      <c r="B307" s="164"/>
      <c r="C307" s="183" t="s">
        <v>190</v>
      </c>
      <c r="D307" s="185"/>
      <c r="E307" s="275">
        <f>Lead!Q27</f>
        <v>0.13614999999999999</v>
      </c>
      <c r="F307" s="98" t="e">
        <f>G306</f>
        <v>#REF!</v>
      </c>
      <c r="G307" s="102" t="e">
        <f>ROUND(F307*E307,2)</f>
        <v>#REF!</v>
      </c>
    </row>
    <row r="308" spans="1:7" s="165" customFormat="1" hidden="1">
      <c r="A308" s="179"/>
      <c r="B308" s="164"/>
      <c r="C308" s="158" t="s">
        <v>191</v>
      </c>
      <c r="D308" s="185"/>
      <c r="E308" s="127"/>
      <c r="F308" s="98"/>
      <c r="G308" s="102" t="e">
        <f>SUM(G306:G307)</f>
        <v>#REF!</v>
      </c>
    </row>
    <row r="309" spans="1:7" s="165" customFormat="1" hidden="1">
      <c r="A309" s="179"/>
      <c r="B309" s="164"/>
      <c r="C309" s="159" t="s">
        <v>192</v>
      </c>
      <c r="D309" s="185"/>
      <c r="E309" s="127"/>
      <c r="F309" s="98" t="s">
        <v>154</v>
      </c>
      <c r="G309" s="101" t="e">
        <f>ROUND(G308/30,2)</f>
        <v>#REF!</v>
      </c>
    </row>
    <row r="310" spans="1:7" s="165" customFormat="1" hidden="1">
      <c r="A310" s="179"/>
      <c r="B310" s="164" t="s">
        <v>196</v>
      </c>
      <c r="C310" s="159" t="s">
        <v>197</v>
      </c>
      <c r="D310" s="185"/>
      <c r="E310" s="127"/>
      <c r="F310" s="98"/>
      <c r="G310" s="102"/>
    </row>
    <row r="311" spans="1:7" s="165" customFormat="1" hidden="1">
      <c r="A311" s="179"/>
      <c r="B311" s="164"/>
      <c r="C311" s="159" t="s">
        <v>179</v>
      </c>
      <c r="D311" s="185"/>
      <c r="E311" s="127"/>
      <c r="F311" s="98"/>
      <c r="G311" s="102"/>
    </row>
    <row r="312" spans="1:7" s="165" customFormat="1" ht="15" hidden="1">
      <c r="A312" s="179"/>
      <c r="B312" s="164"/>
      <c r="C312" s="158" t="s">
        <v>345</v>
      </c>
      <c r="D312" s="185" t="s">
        <v>18</v>
      </c>
      <c r="E312" s="127">
        <v>1.05</v>
      </c>
      <c r="F312" s="98">
        <f>Lead!R26</f>
        <v>0</v>
      </c>
      <c r="G312" s="102">
        <f>ROUND(F312*E312,2)</f>
        <v>0</v>
      </c>
    </row>
    <row r="313" spans="1:7" s="165" customFormat="1" ht="15" hidden="1">
      <c r="A313" s="179"/>
      <c r="B313" s="164"/>
      <c r="C313" s="158" t="s">
        <v>347</v>
      </c>
      <c r="D313" s="185" t="s">
        <v>18</v>
      </c>
      <c r="E313" s="127">
        <v>2.4500000000000002</v>
      </c>
      <c r="F313" s="98">
        <f>Lead!R27</f>
        <v>0</v>
      </c>
      <c r="G313" s="102">
        <f>ROUND(F313*E313,2)</f>
        <v>0</v>
      </c>
    </row>
    <row r="314" spans="1:7" s="165" customFormat="1" hidden="1">
      <c r="A314" s="179"/>
      <c r="B314" s="164"/>
      <c r="C314" s="158" t="s">
        <v>243</v>
      </c>
      <c r="D314" s="185" t="s">
        <v>18</v>
      </c>
      <c r="E314" s="127">
        <v>4.5</v>
      </c>
      <c r="F314" s="98">
        <f>Lead!R24</f>
        <v>445</v>
      </c>
      <c r="G314" s="102">
        <f>ROUND(F314*E314,2)</f>
        <v>2002.5</v>
      </c>
    </row>
    <row r="315" spans="1:7" s="165" customFormat="1" hidden="1">
      <c r="A315" s="179"/>
      <c r="B315" s="164"/>
      <c r="C315" s="158" t="s">
        <v>180</v>
      </c>
      <c r="D315" s="185" t="s">
        <v>18</v>
      </c>
      <c r="E315" s="127">
        <v>1.25</v>
      </c>
      <c r="F315" s="98">
        <f>Lead!R25</f>
        <v>0</v>
      </c>
      <c r="G315" s="102">
        <f>ROUND(F315*E315,2)</f>
        <v>0</v>
      </c>
    </row>
    <row r="316" spans="1:7" s="165" customFormat="1" hidden="1">
      <c r="A316" s="179"/>
      <c r="B316" s="164"/>
      <c r="C316" s="153" t="s">
        <v>315</v>
      </c>
      <c r="D316" s="125"/>
      <c r="E316" s="125">
        <f>Lead!Q26</f>
        <v>0.4</v>
      </c>
      <c r="F316" s="91">
        <f>SUM(G312:G315)</f>
        <v>2002.5</v>
      </c>
      <c r="G316" s="92">
        <f>ROUND(F316*E316,2)</f>
        <v>801</v>
      </c>
    </row>
    <row r="317" spans="1:7" s="165" customFormat="1" hidden="1">
      <c r="A317" s="179"/>
      <c r="B317" s="164"/>
      <c r="C317" s="159" t="s">
        <v>245</v>
      </c>
      <c r="D317" s="185"/>
      <c r="E317" s="127"/>
      <c r="F317" s="98"/>
      <c r="G317" s="102"/>
    </row>
    <row r="318" spans="1:7" s="165" customFormat="1" hidden="1">
      <c r="A318" s="179"/>
      <c r="B318" s="164"/>
      <c r="C318" s="158" t="s">
        <v>199</v>
      </c>
      <c r="D318" s="185" t="s">
        <v>247</v>
      </c>
      <c r="E318" s="127">
        <v>50</v>
      </c>
      <c r="F318" s="98">
        <v>0</v>
      </c>
      <c r="G318" s="102">
        <f>ROUND(F318*E318,2)</f>
        <v>0</v>
      </c>
    </row>
    <row r="319" spans="1:7" s="165" customFormat="1" hidden="1">
      <c r="A319" s="179"/>
      <c r="B319" s="164"/>
      <c r="C319" s="158" t="s">
        <v>183</v>
      </c>
      <c r="D319" s="185" t="s">
        <v>96</v>
      </c>
      <c r="E319" s="127">
        <v>0.13</v>
      </c>
      <c r="F319" s="98" t="e">
        <f>Lead!R8</f>
        <v>#REF!</v>
      </c>
      <c r="G319" s="102" t="e">
        <f>ROUND(F319*E319,2)</f>
        <v>#REF!</v>
      </c>
    </row>
    <row r="320" spans="1:7" s="165" customFormat="1" hidden="1">
      <c r="A320" s="179"/>
      <c r="B320" s="164"/>
      <c r="C320" s="158" t="s">
        <v>185</v>
      </c>
      <c r="D320" s="185" t="s">
        <v>290</v>
      </c>
      <c r="E320" s="127">
        <v>9.0999999999999998E-2</v>
      </c>
      <c r="F320" s="98">
        <f>Lead!R10</f>
        <v>2474.56</v>
      </c>
      <c r="G320" s="102">
        <f>ROUND(F320*E320,2)</f>
        <v>225.18</v>
      </c>
    </row>
    <row r="321" spans="1:7" s="165" customFormat="1" hidden="1">
      <c r="A321" s="179"/>
      <c r="B321" s="164"/>
      <c r="C321" s="158" t="s">
        <v>186</v>
      </c>
      <c r="D321" s="185" t="s">
        <v>125</v>
      </c>
      <c r="E321" s="127">
        <v>12</v>
      </c>
      <c r="F321" s="98">
        <v>134</v>
      </c>
      <c r="G321" s="102">
        <f>ROUND(F321*E321,2)</f>
        <v>1608</v>
      </c>
    </row>
    <row r="322" spans="1:7" s="165" customFormat="1" hidden="1">
      <c r="A322" s="179"/>
      <c r="B322" s="164"/>
      <c r="C322" s="159" t="s">
        <v>187</v>
      </c>
      <c r="D322" s="185"/>
      <c r="E322" s="127"/>
      <c r="F322" s="98"/>
      <c r="G322" s="102" t="e">
        <f>SUM(G312:G321)</f>
        <v>#REF!</v>
      </c>
    </row>
    <row r="323" spans="1:7" s="165" customFormat="1" ht="25.5" hidden="1">
      <c r="A323" s="179"/>
      <c r="B323" s="164"/>
      <c r="C323" s="159" t="s">
        <v>188</v>
      </c>
      <c r="D323" s="185"/>
      <c r="E323" s="127" t="e">
        <f>G322</f>
        <v>#REF!</v>
      </c>
      <c r="F323" s="98">
        <v>0.01</v>
      </c>
      <c r="G323" s="102"/>
    </row>
    <row r="324" spans="1:7" s="165" customFormat="1" hidden="1">
      <c r="A324" s="179"/>
      <c r="B324" s="164"/>
      <c r="C324" s="159" t="s">
        <v>189</v>
      </c>
      <c r="D324" s="185"/>
      <c r="E324" s="127"/>
      <c r="F324" s="98"/>
      <c r="G324" s="102" t="e">
        <f>SUM(G322:G323)</f>
        <v>#REF!</v>
      </c>
    </row>
    <row r="325" spans="1:7" s="165" customFormat="1" hidden="1">
      <c r="A325" s="179"/>
      <c r="B325" s="164"/>
      <c r="C325" s="183" t="s">
        <v>190</v>
      </c>
      <c r="D325" s="185"/>
      <c r="E325" s="275">
        <f>Lead!Q27</f>
        <v>0.13614999999999999</v>
      </c>
      <c r="F325" s="98" t="e">
        <f>G324</f>
        <v>#REF!</v>
      </c>
      <c r="G325" s="102" t="e">
        <f>ROUND(F325*E325,2)</f>
        <v>#REF!</v>
      </c>
    </row>
    <row r="326" spans="1:7" s="165" customFormat="1" hidden="1">
      <c r="A326" s="179"/>
      <c r="B326" s="164"/>
      <c r="C326" s="158" t="s">
        <v>191</v>
      </c>
      <c r="D326" s="185"/>
      <c r="E326" s="127"/>
      <c r="F326" s="98"/>
      <c r="G326" s="102" t="e">
        <f>SUM(G324:G325)</f>
        <v>#REF!</v>
      </c>
    </row>
    <row r="327" spans="1:7" s="165" customFormat="1" hidden="1">
      <c r="A327" s="179"/>
      <c r="B327" s="164"/>
      <c r="C327" s="159" t="s">
        <v>192</v>
      </c>
      <c r="D327" s="185"/>
      <c r="E327" s="127"/>
      <c r="F327" s="98" t="s">
        <v>154</v>
      </c>
      <c r="G327" s="101" t="e">
        <f>ROUND(G326/30,2)</f>
        <v>#REF!</v>
      </c>
    </row>
    <row r="328" spans="1:7" s="165" customFormat="1" hidden="1">
      <c r="A328" s="179"/>
      <c r="B328" s="164" t="s">
        <v>36</v>
      </c>
      <c r="C328" s="159" t="s">
        <v>200</v>
      </c>
      <c r="D328" s="185"/>
      <c r="E328" s="127"/>
      <c r="F328" s="98"/>
      <c r="G328" s="102"/>
    </row>
    <row r="329" spans="1:7" s="165" customFormat="1" hidden="1">
      <c r="A329" s="179"/>
      <c r="B329" s="164"/>
      <c r="C329" s="159" t="s">
        <v>179</v>
      </c>
      <c r="D329" s="185"/>
      <c r="E329" s="127"/>
      <c r="F329" s="98"/>
      <c r="G329" s="102"/>
    </row>
    <row r="330" spans="1:7" s="165" customFormat="1" ht="15" hidden="1">
      <c r="A330" s="179"/>
      <c r="B330" s="164"/>
      <c r="C330" s="158" t="s">
        <v>345</v>
      </c>
      <c r="D330" s="185" t="s">
        <v>18</v>
      </c>
      <c r="E330" s="127">
        <v>1.2</v>
      </c>
      <c r="F330" s="98">
        <f>Lead!R26</f>
        <v>0</v>
      </c>
      <c r="G330" s="102">
        <f>ROUND(F330*E330,2)</f>
        <v>0</v>
      </c>
    </row>
    <row r="331" spans="1:7" s="165" customFormat="1" ht="15" hidden="1">
      <c r="A331" s="179"/>
      <c r="B331" s="164"/>
      <c r="C331" s="158" t="s">
        <v>347</v>
      </c>
      <c r="D331" s="185" t="s">
        <v>18</v>
      </c>
      <c r="E331" s="127">
        <v>2.8</v>
      </c>
      <c r="F331" s="98">
        <f>Lead!R27</f>
        <v>0</v>
      </c>
      <c r="G331" s="102">
        <f>ROUND(F331*E331,2)</f>
        <v>0</v>
      </c>
    </row>
    <row r="332" spans="1:7" s="165" customFormat="1" hidden="1">
      <c r="A332" s="179"/>
      <c r="B332" s="164"/>
      <c r="C332" s="158" t="s">
        <v>243</v>
      </c>
      <c r="D332" s="185" t="s">
        <v>18</v>
      </c>
      <c r="E332" s="127">
        <v>5</v>
      </c>
      <c r="F332" s="98">
        <f>Lead!R24</f>
        <v>445</v>
      </c>
      <c r="G332" s="102">
        <f>ROUND(F332*E332,2)</f>
        <v>2225</v>
      </c>
    </row>
    <row r="333" spans="1:7" s="165" customFormat="1" hidden="1">
      <c r="A333" s="179"/>
      <c r="B333" s="164"/>
      <c r="C333" s="158" t="s">
        <v>180</v>
      </c>
      <c r="D333" s="185" t="s">
        <v>18</v>
      </c>
      <c r="E333" s="127">
        <v>1.5</v>
      </c>
      <c r="F333" s="98">
        <f>Lead!R25</f>
        <v>0</v>
      </c>
      <c r="G333" s="102">
        <f>ROUND(F333*E333,2)</f>
        <v>0</v>
      </c>
    </row>
    <row r="334" spans="1:7" s="165" customFormat="1" hidden="1">
      <c r="A334" s="179"/>
      <c r="B334" s="164"/>
      <c r="C334" s="153" t="s">
        <v>315</v>
      </c>
      <c r="D334" s="125"/>
      <c r="E334" s="125">
        <f>Lead!Q26</f>
        <v>0.4</v>
      </c>
      <c r="F334" s="91">
        <f>SUM(G330:G333)</f>
        <v>2225</v>
      </c>
      <c r="G334" s="92">
        <f>ROUND(F334*E334,2)</f>
        <v>890</v>
      </c>
    </row>
    <row r="335" spans="1:7" s="165" customFormat="1" hidden="1">
      <c r="A335" s="179"/>
      <c r="B335" s="164"/>
      <c r="C335" s="159" t="s">
        <v>245</v>
      </c>
      <c r="D335" s="185"/>
      <c r="E335" s="127"/>
      <c r="F335" s="98"/>
      <c r="G335" s="102"/>
    </row>
    <row r="336" spans="1:7" s="165" customFormat="1" hidden="1">
      <c r="A336" s="179"/>
      <c r="B336" s="164"/>
      <c r="C336" s="158" t="s">
        <v>201</v>
      </c>
      <c r="D336" s="185" t="s">
        <v>247</v>
      </c>
      <c r="E336" s="127">
        <v>50</v>
      </c>
      <c r="F336" s="98">
        <v>0</v>
      </c>
      <c r="G336" s="102">
        <f>ROUND(F336*E336,2)</f>
        <v>0</v>
      </c>
    </row>
    <row r="337" spans="1:7" s="165" customFormat="1" hidden="1">
      <c r="A337" s="179"/>
      <c r="B337" s="164"/>
      <c r="C337" s="158" t="s">
        <v>183</v>
      </c>
      <c r="D337" s="185" t="s">
        <v>96</v>
      </c>
      <c r="E337" s="127">
        <v>0.14599999999999999</v>
      </c>
      <c r="F337" s="98" t="e">
        <f>Lead!R8</f>
        <v>#REF!</v>
      </c>
      <c r="G337" s="102" t="e">
        <f>ROUND(F337*E337,2)</f>
        <v>#REF!</v>
      </c>
    </row>
    <row r="338" spans="1:7" s="165" customFormat="1" hidden="1">
      <c r="A338" s="179"/>
      <c r="B338" s="164"/>
      <c r="C338" s="158" t="s">
        <v>185</v>
      </c>
      <c r="D338" s="185" t="s">
        <v>290</v>
      </c>
      <c r="E338" s="127">
        <v>0.10199999999999999</v>
      </c>
      <c r="F338" s="98">
        <f>Lead!R10</f>
        <v>2474.56</v>
      </c>
      <c r="G338" s="102">
        <f>ROUND(F338*E338,2)</f>
        <v>252.41</v>
      </c>
    </row>
    <row r="339" spans="1:7" s="165" customFormat="1" hidden="1">
      <c r="A339" s="179"/>
      <c r="B339" s="164"/>
      <c r="C339" s="158" t="s">
        <v>186</v>
      </c>
      <c r="D339" s="185" t="s">
        <v>125</v>
      </c>
      <c r="E339" s="127">
        <v>13.5</v>
      </c>
      <c r="F339" s="98">
        <v>134</v>
      </c>
      <c r="G339" s="102">
        <f>ROUND(F339*E339,2)</f>
        <v>1809</v>
      </c>
    </row>
    <row r="340" spans="1:7" s="165" customFormat="1" hidden="1">
      <c r="A340" s="179"/>
      <c r="B340" s="164"/>
      <c r="C340" s="159" t="s">
        <v>187</v>
      </c>
      <c r="D340" s="185"/>
      <c r="E340" s="127"/>
      <c r="F340" s="98"/>
      <c r="G340" s="102" t="e">
        <f>SUM(G330:G339)</f>
        <v>#REF!</v>
      </c>
    </row>
    <row r="341" spans="1:7" s="165" customFormat="1" ht="25.5" hidden="1">
      <c r="A341" s="179"/>
      <c r="B341" s="164"/>
      <c r="C341" s="159" t="s">
        <v>188</v>
      </c>
      <c r="D341" s="185"/>
      <c r="E341" s="127" t="e">
        <f>G340</f>
        <v>#REF!</v>
      </c>
      <c r="F341" s="98">
        <v>0.01</v>
      </c>
      <c r="G341" s="102"/>
    </row>
    <row r="342" spans="1:7" s="165" customFormat="1" hidden="1">
      <c r="A342" s="179"/>
      <c r="B342" s="164"/>
      <c r="C342" s="159" t="s">
        <v>189</v>
      </c>
      <c r="D342" s="185"/>
      <c r="E342" s="127"/>
      <c r="F342" s="98"/>
      <c r="G342" s="102" t="e">
        <f>SUM(G340:G341)</f>
        <v>#REF!</v>
      </c>
    </row>
    <row r="343" spans="1:7" s="165" customFormat="1" hidden="1">
      <c r="A343" s="179"/>
      <c r="B343" s="164"/>
      <c r="C343" s="183" t="s">
        <v>190</v>
      </c>
      <c r="D343" s="185"/>
      <c r="E343" s="276">
        <f>Lead!Q27</f>
        <v>0.13614999999999999</v>
      </c>
      <c r="F343" s="98" t="e">
        <f>G342</f>
        <v>#REF!</v>
      </c>
      <c r="G343" s="102" t="e">
        <f>ROUND(F343*E343,2)</f>
        <v>#REF!</v>
      </c>
    </row>
    <row r="344" spans="1:7" s="165" customFormat="1" hidden="1">
      <c r="A344" s="179"/>
      <c r="B344" s="164"/>
      <c r="C344" s="158" t="s">
        <v>191</v>
      </c>
      <c r="D344" s="185"/>
      <c r="E344" s="127"/>
      <c r="F344" s="98"/>
      <c r="G344" s="102" t="e">
        <f>SUM(G342:G343)</f>
        <v>#REF!</v>
      </c>
    </row>
    <row r="345" spans="1:7" s="165" customFormat="1" hidden="1">
      <c r="A345" s="179"/>
      <c r="B345" s="164"/>
      <c r="C345" s="159" t="s">
        <v>192</v>
      </c>
      <c r="D345" s="185"/>
      <c r="E345" s="127"/>
      <c r="F345" s="98" t="s">
        <v>154</v>
      </c>
      <c r="G345" s="101" t="e">
        <f>ROUND(G344/30,2)</f>
        <v>#REF!</v>
      </c>
    </row>
    <row r="346" spans="1:7" s="165" customFormat="1" hidden="1">
      <c r="A346" s="179"/>
      <c r="B346" s="164" t="s">
        <v>202</v>
      </c>
      <c r="C346" s="159" t="s">
        <v>214</v>
      </c>
      <c r="D346" s="185"/>
      <c r="E346" s="127"/>
      <c r="F346" s="98"/>
      <c r="G346" s="102"/>
    </row>
    <row r="347" spans="1:7" s="165" customFormat="1" hidden="1">
      <c r="A347" s="179"/>
      <c r="B347" s="164"/>
      <c r="C347" s="159" t="s">
        <v>179</v>
      </c>
      <c r="D347" s="185"/>
      <c r="E347" s="127"/>
      <c r="F347" s="98"/>
      <c r="G347" s="102"/>
    </row>
    <row r="348" spans="1:7" s="165" customFormat="1" ht="15" hidden="1">
      <c r="A348" s="179"/>
      <c r="B348" s="164"/>
      <c r="C348" s="158" t="s">
        <v>345</v>
      </c>
      <c r="D348" s="185" t="s">
        <v>18</v>
      </c>
      <c r="E348" s="127">
        <v>1.35</v>
      </c>
      <c r="F348" s="98">
        <f>Lead!R26</f>
        <v>0</v>
      </c>
      <c r="G348" s="102">
        <f>ROUND(F348*E348,2)</f>
        <v>0</v>
      </c>
    </row>
    <row r="349" spans="1:7" s="165" customFormat="1" ht="15" hidden="1">
      <c r="A349" s="179"/>
      <c r="B349" s="164"/>
      <c r="C349" s="158" t="s">
        <v>347</v>
      </c>
      <c r="D349" s="185" t="s">
        <v>18</v>
      </c>
      <c r="E349" s="127">
        <v>3.15</v>
      </c>
      <c r="F349" s="98">
        <f>Lead!R27</f>
        <v>0</v>
      </c>
      <c r="G349" s="102">
        <f>ROUND(F349*E349,2)</f>
        <v>0</v>
      </c>
    </row>
    <row r="350" spans="1:7" s="165" customFormat="1" hidden="1">
      <c r="A350" s="179"/>
      <c r="B350" s="164"/>
      <c r="C350" s="158" t="s">
        <v>243</v>
      </c>
      <c r="D350" s="185" t="s">
        <v>18</v>
      </c>
      <c r="E350" s="127">
        <v>5.5</v>
      </c>
      <c r="F350" s="98">
        <f>Lead!R24</f>
        <v>445</v>
      </c>
      <c r="G350" s="102">
        <f>ROUND(F350*E350,2)</f>
        <v>2447.5</v>
      </c>
    </row>
    <row r="351" spans="1:7" s="165" customFormat="1" hidden="1">
      <c r="A351" s="179"/>
      <c r="B351" s="164"/>
      <c r="C351" s="158" t="s">
        <v>180</v>
      </c>
      <c r="D351" s="185" t="s">
        <v>18</v>
      </c>
      <c r="E351" s="127">
        <v>1.5</v>
      </c>
      <c r="F351" s="98">
        <f>Lead!R25</f>
        <v>0</v>
      </c>
      <c r="G351" s="102">
        <f>ROUND(F351*E351,2)</f>
        <v>0</v>
      </c>
    </row>
    <row r="352" spans="1:7" s="165" customFormat="1" hidden="1">
      <c r="A352" s="179"/>
      <c r="B352" s="164"/>
      <c r="C352" s="153" t="s">
        <v>315</v>
      </c>
      <c r="D352" s="125"/>
      <c r="E352" s="125">
        <f>Lead!Q26</f>
        <v>0.4</v>
      </c>
      <c r="F352" s="91">
        <f>SUM(G348:G351)</f>
        <v>2447.5</v>
      </c>
      <c r="G352" s="92">
        <f>ROUND(F352*E352,2)</f>
        <v>979</v>
      </c>
    </row>
    <row r="353" spans="1:7" s="165" customFormat="1" hidden="1">
      <c r="A353" s="179"/>
      <c r="B353" s="164"/>
      <c r="C353" s="159" t="s">
        <v>245</v>
      </c>
      <c r="D353" s="185"/>
      <c r="E353" s="127"/>
      <c r="F353" s="98"/>
      <c r="G353" s="102"/>
    </row>
    <row r="354" spans="1:7" s="165" customFormat="1" hidden="1">
      <c r="A354" s="179"/>
      <c r="B354" s="164"/>
      <c r="C354" s="158" t="s">
        <v>215</v>
      </c>
      <c r="D354" s="185" t="s">
        <v>247</v>
      </c>
      <c r="E354" s="127">
        <v>50</v>
      </c>
      <c r="F354" s="98">
        <v>0</v>
      </c>
      <c r="G354" s="102">
        <f>ROUND(F354*E354,2)</f>
        <v>0</v>
      </c>
    </row>
    <row r="355" spans="1:7" s="165" customFormat="1" hidden="1">
      <c r="A355" s="179"/>
      <c r="B355" s="164"/>
      <c r="C355" s="158" t="s">
        <v>183</v>
      </c>
      <c r="D355" s="185" t="s">
        <v>96</v>
      </c>
      <c r="E355" s="127">
        <v>0.16200000000000001</v>
      </c>
      <c r="F355" s="98" t="e">
        <f>Lead!R8</f>
        <v>#REF!</v>
      </c>
      <c r="G355" s="102" t="e">
        <f>ROUND(F355*E355,2)</f>
        <v>#REF!</v>
      </c>
    </row>
    <row r="356" spans="1:7" s="165" customFormat="1" hidden="1">
      <c r="A356" s="179"/>
      <c r="B356" s="164"/>
      <c r="C356" s="158" t="s">
        <v>185</v>
      </c>
      <c r="D356" s="185" t="s">
        <v>290</v>
      </c>
      <c r="E356" s="127">
        <v>0.113</v>
      </c>
      <c r="F356" s="98">
        <f>Lead!R10</f>
        <v>2474.56</v>
      </c>
      <c r="G356" s="102">
        <f>ROUND(F356*E356,2)</f>
        <v>279.63</v>
      </c>
    </row>
    <row r="357" spans="1:7" s="165" customFormat="1" hidden="1">
      <c r="A357" s="179"/>
      <c r="B357" s="164"/>
      <c r="C357" s="158" t="s">
        <v>186</v>
      </c>
      <c r="D357" s="185" t="s">
        <v>125</v>
      </c>
      <c r="E357" s="127">
        <v>15</v>
      </c>
      <c r="F357" s="98">
        <v>134</v>
      </c>
      <c r="G357" s="102">
        <f>ROUND(F357*E357,2)</f>
        <v>2010</v>
      </c>
    </row>
    <row r="358" spans="1:7" s="165" customFormat="1" hidden="1">
      <c r="A358" s="179"/>
      <c r="B358" s="164"/>
      <c r="C358" s="159" t="s">
        <v>187</v>
      </c>
      <c r="D358" s="185"/>
      <c r="E358" s="127"/>
      <c r="F358" s="98"/>
      <c r="G358" s="102" t="e">
        <f>SUM(G348:G357)</f>
        <v>#REF!</v>
      </c>
    </row>
    <row r="359" spans="1:7" s="165" customFormat="1" ht="25.5" hidden="1">
      <c r="A359" s="179"/>
      <c r="B359" s="164"/>
      <c r="C359" s="159" t="s">
        <v>188</v>
      </c>
      <c r="D359" s="185"/>
      <c r="E359" s="127" t="e">
        <f>G358</f>
        <v>#REF!</v>
      </c>
      <c r="F359" s="98">
        <v>0.01</v>
      </c>
      <c r="G359" s="102"/>
    </row>
    <row r="360" spans="1:7" s="165" customFormat="1" hidden="1">
      <c r="A360" s="179"/>
      <c r="B360" s="164"/>
      <c r="C360" s="159" t="s">
        <v>189</v>
      </c>
      <c r="D360" s="185"/>
      <c r="E360" s="127"/>
      <c r="F360" s="98"/>
      <c r="G360" s="102" t="e">
        <f>SUM(G358:G359)</f>
        <v>#REF!</v>
      </c>
    </row>
    <row r="361" spans="1:7" s="165" customFormat="1" hidden="1">
      <c r="A361" s="179"/>
      <c r="B361" s="164"/>
      <c r="C361" s="183" t="s">
        <v>190</v>
      </c>
      <c r="D361" s="185"/>
      <c r="E361" s="275">
        <f>Lead!Q27</f>
        <v>0.13614999999999999</v>
      </c>
      <c r="F361" s="98" t="e">
        <f>G360</f>
        <v>#REF!</v>
      </c>
      <c r="G361" s="102" t="e">
        <f>ROUND(F361*E361,2)</f>
        <v>#REF!</v>
      </c>
    </row>
    <row r="362" spans="1:7" s="165" customFormat="1" hidden="1">
      <c r="A362" s="179"/>
      <c r="B362" s="164"/>
      <c r="C362" s="158" t="s">
        <v>191</v>
      </c>
      <c r="D362" s="185"/>
      <c r="E362" s="127"/>
      <c r="F362" s="98"/>
      <c r="G362" s="102" t="e">
        <f>SUM(G360:G361)</f>
        <v>#REF!</v>
      </c>
    </row>
    <row r="363" spans="1:7" s="165" customFormat="1" hidden="1">
      <c r="A363" s="179"/>
      <c r="B363" s="164"/>
      <c r="C363" s="159" t="s">
        <v>192</v>
      </c>
      <c r="D363" s="185"/>
      <c r="E363" s="127"/>
      <c r="F363" s="98" t="s">
        <v>154</v>
      </c>
      <c r="G363" s="101" t="e">
        <f>ROUND(G362/30,2)</f>
        <v>#REF!</v>
      </c>
    </row>
    <row r="364" spans="1:7" s="165" customFormat="1" hidden="1">
      <c r="A364" s="179"/>
      <c r="B364" s="164" t="s">
        <v>257</v>
      </c>
      <c r="C364" s="159" t="s">
        <v>216</v>
      </c>
      <c r="D364" s="185"/>
      <c r="E364" s="127"/>
      <c r="F364" s="98"/>
      <c r="G364" s="102"/>
    </row>
    <row r="365" spans="1:7" s="165" customFormat="1" hidden="1">
      <c r="A365" s="179"/>
      <c r="B365" s="164"/>
      <c r="C365" s="159" t="s">
        <v>179</v>
      </c>
      <c r="D365" s="185"/>
      <c r="E365" s="127"/>
      <c r="F365" s="98"/>
      <c r="G365" s="102"/>
    </row>
    <row r="366" spans="1:7" s="165" customFormat="1" ht="15" hidden="1">
      <c r="A366" s="179"/>
      <c r="B366" s="164"/>
      <c r="C366" s="158" t="s">
        <v>345</v>
      </c>
      <c r="D366" s="185" t="s">
        <v>18</v>
      </c>
      <c r="E366" s="127">
        <v>1.5</v>
      </c>
      <c r="F366" s="98">
        <f>Lead!R26</f>
        <v>0</v>
      </c>
      <c r="G366" s="102">
        <f>ROUND(F366*E366,2)</f>
        <v>0</v>
      </c>
    </row>
    <row r="367" spans="1:7" s="165" customFormat="1" ht="15" hidden="1">
      <c r="A367" s="179"/>
      <c r="B367" s="164"/>
      <c r="C367" s="158" t="s">
        <v>347</v>
      </c>
      <c r="D367" s="185" t="s">
        <v>18</v>
      </c>
      <c r="E367" s="127">
        <v>3.5</v>
      </c>
      <c r="F367" s="98">
        <f>Lead!R27</f>
        <v>0</v>
      </c>
      <c r="G367" s="102">
        <f>ROUND(F367*E367,2)</f>
        <v>0</v>
      </c>
    </row>
    <row r="368" spans="1:7" s="165" customFormat="1" hidden="1">
      <c r="A368" s="179"/>
      <c r="B368" s="164"/>
      <c r="C368" s="158" t="s">
        <v>243</v>
      </c>
      <c r="D368" s="185" t="s">
        <v>18</v>
      </c>
      <c r="E368" s="127">
        <v>6</v>
      </c>
      <c r="F368" s="98">
        <f>Lead!R24</f>
        <v>445</v>
      </c>
      <c r="G368" s="102">
        <f>ROUND(F368*E368,2)</f>
        <v>2670</v>
      </c>
    </row>
    <row r="369" spans="1:7" s="165" customFormat="1" hidden="1">
      <c r="A369" s="179"/>
      <c r="B369" s="164"/>
      <c r="C369" s="158" t="s">
        <v>180</v>
      </c>
      <c r="D369" s="185" t="s">
        <v>18</v>
      </c>
      <c r="E369" s="127">
        <v>1.5</v>
      </c>
      <c r="F369" s="98">
        <f>Lead!R25</f>
        <v>0</v>
      </c>
      <c r="G369" s="102">
        <f>ROUND(F369*E369,2)</f>
        <v>0</v>
      </c>
    </row>
    <row r="370" spans="1:7" s="165" customFormat="1" hidden="1">
      <c r="A370" s="179"/>
      <c r="B370" s="164"/>
      <c r="C370" s="153" t="s">
        <v>315</v>
      </c>
      <c r="D370" s="125"/>
      <c r="E370" s="125">
        <f>Lead!Q26</f>
        <v>0.4</v>
      </c>
      <c r="F370" s="91">
        <f>SUM(G366:G369)</f>
        <v>2670</v>
      </c>
      <c r="G370" s="92">
        <f>ROUND(F370*E370,2)</f>
        <v>1068</v>
      </c>
    </row>
    <row r="371" spans="1:7" s="165" customFormat="1" hidden="1">
      <c r="A371" s="179"/>
      <c r="B371" s="164"/>
      <c r="C371" s="159" t="s">
        <v>245</v>
      </c>
      <c r="D371" s="185"/>
      <c r="E371" s="127"/>
      <c r="F371" s="98"/>
      <c r="G371" s="102"/>
    </row>
    <row r="372" spans="1:7" s="165" customFormat="1" hidden="1">
      <c r="A372" s="179"/>
      <c r="B372" s="164"/>
      <c r="C372" s="158" t="s">
        <v>217</v>
      </c>
      <c r="D372" s="185" t="s">
        <v>247</v>
      </c>
      <c r="E372" s="127">
        <v>50</v>
      </c>
      <c r="F372" s="98">
        <v>0</v>
      </c>
      <c r="G372" s="102">
        <f>ROUND(F372*E372,2)</f>
        <v>0</v>
      </c>
    </row>
    <row r="373" spans="1:7" s="165" customFormat="1" hidden="1">
      <c r="A373" s="179"/>
      <c r="B373" s="164"/>
      <c r="C373" s="158" t="s">
        <v>183</v>
      </c>
      <c r="D373" s="185" t="s">
        <v>96</v>
      </c>
      <c r="E373" s="127">
        <v>0.19400000000000001</v>
      </c>
      <c r="F373" s="98" t="e">
        <f>Lead!R8</f>
        <v>#REF!</v>
      </c>
      <c r="G373" s="102" t="e">
        <f>ROUND(F373*E373,2)</f>
        <v>#REF!</v>
      </c>
    </row>
    <row r="374" spans="1:7" s="165" customFormat="1" hidden="1">
      <c r="A374" s="179"/>
      <c r="B374" s="164"/>
      <c r="C374" s="158" t="s">
        <v>185</v>
      </c>
      <c r="D374" s="185" t="s">
        <v>290</v>
      </c>
      <c r="E374" s="127">
        <v>0.13600000000000001</v>
      </c>
      <c r="F374" s="98">
        <f>Lead!R10</f>
        <v>2474.56</v>
      </c>
      <c r="G374" s="102">
        <f>ROUND(F374*E374,2)</f>
        <v>336.54</v>
      </c>
    </row>
    <row r="375" spans="1:7" s="165" customFormat="1" hidden="1">
      <c r="A375" s="179"/>
      <c r="B375" s="164"/>
      <c r="C375" s="158" t="s">
        <v>186</v>
      </c>
      <c r="D375" s="185" t="s">
        <v>125</v>
      </c>
      <c r="E375" s="127">
        <v>18</v>
      </c>
      <c r="F375" s="98">
        <v>134</v>
      </c>
      <c r="G375" s="102">
        <f>ROUND(F375*E375,2)</f>
        <v>2412</v>
      </c>
    </row>
    <row r="376" spans="1:7" s="165" customFormat="1" hidden="1">
      <c r="A376" s="179"/>
      <c r="B376" s="164"/>
      <c r="C376" s="159" t="s">
        <v>187</v>
      </c>
      <c r="D376" s="185"/>
      <c r="E376" s="127"/>
      <c r="F376" s="98"/>
      <c r="G376" s="102" t="e">
        <f>SUM(G366:G375)</f>
        <v>#REF!</v>
      </c>
    </row>
    <row r="377" spans="1:7" s="165" customFormat="1" ht="25.5" hidden="1">
      <c r="A377" s="179"/>
      <c r="B377" s="164"/>
      <c r="C377" s="159" t="s">
        <v>188</v>
      </c>
      <c r="D377" s="185"/>
      <c r="E377" s="127" t="e">
        <f>G376</f>
        <v>#REF!</v>
      </c>
      <c r="F377" s="98">
        <v>0.01</v>
      </c>
      <c r="G377" s="102"/>
    </row>
    <row r="378" spans="1:7" s="165" customFormat="1" hidden="1">
      <c r="A378" s="179"/>
      <c r="B378" s="164"/>
      <c r="C378" s="159" t="s">
        <v>189</v>
      </c>
      <c r="D378" s="185"/>
      <c r="E378" s="127"/>
      <c r="F378" s="98"/>
      <c r="G378" s="102" t="e">
        <f>SUM(G376:G377)</f>
        <v>#REF!</v>
      </c>
    </row>
    <row r="379" spans="1:7" s="165" customFormat="1" hidden="1">
      <c r="A379" s="179"/>
      <c r="B379" s="164"/>
      <c r="C379" s="183" t="s">
        <v>190</v>
      </c>
      <c r="D379" s="185"/>
      <c r="E379" s="275">
        <f>Lead!Q27</f>
        <v>0.13614999999999999</v>
      </c>
      <c r="F379" s="98" t="e">
        <f>G378</f>
        <v>#REF!</v>
      </c>
      <c r="G379" s="102" t="e">
        <f>ROUND(F379*E379,2)</f>
        <v>#REF!</v>
      </c>
    </row>
    <row r="380" spans="1:7" s="165" customFormat="1" hidden="1">
      <c r="A380" s="179"/>
      <c r="B380" s="164"/>
      <c r="C380" s="158" t="s">
        <v>191</v>
      </c>
      <c r="D380" s="185"/>
      <c r="E380" s="127"/>
      <c r="F380" s="98"/>
      <c r="G380" s="102" t="e">
        <f>SUM(G378:G379)</f>
        <v>#REF!</v>
      </c>
    </row>
    <row r="381" spans="1:7" s="165" customFormat="1" hidden="1">
      <c r="A381" s="179"/>
      <c r="B381" s="164"/>
      <c r="C381" s="159" t="s">
        <v>192</v>
      </c>
      <c r="D381" s="185"/>
      <c r="E381" s="127"/>
      <c r="F381" s="98" t="s">
        <v>154</v>
      </c>
      <c r="G381" s="101" t="e">
        <f>ROUND(G380/30,2)</f>
        <v>#REF!</v>
      </c>
    </row>
    <row r="382" spans="1:7" s="165" customFormat="1" hidden="1">
      <c r="A382" s="179"/>
      <c r="B382" s="164" t="s">
        <v>259</v>
      </c>
      <c r="C382" s="159" t="s">
        <v>218</v>
      </c>
      <c r="D382" s="185"/>
      <c r="E382" s="127"/>
      <c r="F382" s="98"/>
      <c r="G382" s="102"/>
    </row>
    <row r="383" spans="1:7" s="165" customFormat="1" hidden="1">
      <c r="A383" s="179"/>
      <c r="B383" s="164"/>
      <c r="C383" s="159" t="s">
        <v>179</v>
      </c>
      <c r="D383" s="185"/>
      <c r="E383" s="127"/>
      <c r="F383" s="98"/>
      <c r="G383" s="102"/>
    </row>
    <row r="384" spans="1:7" s="165" customFormat="1" ht="15" hidden="1">
      <c r="A384" s="179"/>
      <c r="B384" s="164"/>
      <c r="C384" s="158" t="s">
        <v>345</v>
      </c>
      <c r="D384" s="185" t="s">
        <v>18</v>
      </c>
      <c r="E384" s="127">
        <v>1.65</v>
      </c>
      <c r="F384" s="98">
        <f>Lead!R26</f>
        <v>0</v>
      </c>
      <c r="G384" s="102">
        <f>ROUND(F384*E384,2)</f>
        <v>0</v>
      </c>
    </row>
    <row r="385" spans="1:7" s="165" customFormat="1" ht="15" hidden="1">
      <c r="A385" s="179"/>
      <c r="B385" s="164"/>
      <c r="C385" s="158" t="s">
        <v>347</v>
      </c>
      <c r="D385" s="185" t="s">
        <v>18</v>
      </c>
      <c r="E385" s="127">
        <v>3.85</v>
      </c>
      <c r="F385" s="98">
        <f>Lead!R27</f>
        <v>0</v>
      </c>
      <c r="G385" s="102">
        <f>ROUND(F385*E385,2)</f>
        <v>0</v>
      </c>
    </row>
    <row r="386" spans="1:7" s="165" customFormat="1" hidden="1">
      <c r="A386" s="179"/>
      <c r="B386" s="164"/>
      <c r="C386" s="158" t="s">
        <v>243</v>
      </c>
      <c r="D386" s="185" t="s">
        <v>18</v>
      </c>
      <c r="E386" s="127">
        <v>7</v>
      </c>
      <c r="F386" s="98">
        <f>Lead!R24</f>
        <v>445</v>
      </c>
      <c r="G386" s="102">
        <f>ROUND(F386*E386,2)</f>
        <v>3115</v>
      </c>
    </row>
    <row r="387" spans="1:7" s="165" customFormat="1" hidden="1">
      <c r="A387" s="179"/>
      <c r="B387" s="164"/>
      <c r="C387" s="158" t="s">
        <v>180</v>
      </c>
      <c r="D387" s="185" t="s">
        <v>18</v>
      </c>
      <c r="E387" s="127">
        <v>1.75</v>
      </c>
      <c r="F387" s="98">
        <f>Lead!R25</f>
        <v>0</v>
      </c>
      <c r="G387" s="102">
        <f>ROUND(F387*E387,2)</f>
        <v>0</v>
      </c>
    </row>
    <row r="388" spans="1:7" s="165" customFormat="1" hidden="1">
      <c r="A388" s="179"/>
      <c r="B388" s="164"/>
      <c r="C388" s="153" t="s">
        <v>315</v>
      </c>
      <c r="D388" s="125"/>
      <c r="E388" s="125">
        <f>Lead!Q26</f>
        <v>0.4</v>
      </c>
      <c r="F388" s="91">
        <f>SUM(G384:G387)</f>
        <v>3115</v>
      </c>
      <c r="G388" s="92">
        <f>ROUND(F388*E388,2)</f>
        <v>1246</v>
      </c>
    </row>
    <row r="389" spans="1:7" s="165" customFormat="1" hidden="1">
      <c r="A389" s="179"/>
      <c r="B389" s="164"/>
      <c r="C389" s="159" t="s">
        <v>245</v>
      </c>
      <c r="D389" s="185"/>
      <c r="E389" s="127"/>
      <c r="F389" s="98"/>
      <c r="G389" s="102"/>
    </row>
    <row r="390" spans="1:7" s="165" customFormat="1" hidden="1">
      <c r="A390" s="179"/>
      <c r="B390" s="164"/>
      <c r="C390" s="158" t="s">
        <v>219</v>
      </c>
      <c r="D390" s="185" t="s">
        <v>247</v>
      </c>
      <c r="E390" s="127">
        <v>50</v>
      </c>
      <c r="F390" s="98">
        <v>0</v>
      </c>
      <c r="G390" s="102">
        <f>ROUND(F390*E390,2)</f>
        <v>0</v>
      </c>
    </row>
    <row r="391" spans="1:7" s="165" customFormat="1" hidden="1">
      <c r="A391" s="179"/>
      <c r="B391" s="164"/>
      <c r="C391" s="158" t="s">
        <v>183</v>
      </c>
      <c r="D391" s="185" t="s">
        <v>96</v>
      </c>
      <c r="E391" s="127">
        <v>0.22500000000000001</v>
      </c>
      <c r="F391" s="98" t="e">
        <f>Lead!R8</f>
        <v>#REF!</v>
      </c>
      <c r="G391" s="102" t="e">
        <f>ROUND(F391*E391,2)</f>
        <v>#REF!</v>
      </c>
    </row>
    <row r="392" spans="1:7" s="165" customFormat="1" hidden="1">
      <c r="A392" s="179"/>
      <c r="B392" s="164"/>
      <c r="C392" s="158" t="s">
        <v>185</v>
      </c>
      <c r="D392" s="185" t="s">
        <v>290</v>
      </c>
      <c r="E392" s="127">
        <v>0.159</v>
      </c>
      <c r="F392" s="98">
        <f>Lead!R10</f>
        <v>2474.56</v>
      </c>
      <c r="G392" s="102">
        <f>ROUND(F392*E392,2)</f>
        <v>393.46</v>
      </c>
    </row>
    <row r="393" spans="1:7" s="165" customFormat="1" hidden="1">
      <c r="A393" s="179"/>
      <c r="B393" s="164"/>
      <c r="C393" s="158" t="s">
        <v>186</v>
      </c>
      <c r="D393" s="185" t="s">
        <v>125</v>
      </c>
      <c r="E393" s="127">
        <v>21</v>
      </c>
      <c r="F393" s="98">
        <v>134</v>
      </c>
      <c r="G393" s="102">
        <f>ROUND(F393*E393,2)</f>
        <v>2814</v>
      </c>
    </row>
    <row r="394" spans="1:7" s="165" customFormat="1" hidden="1">
      <c r="A394" s="179"/>
      <c r="B394" s="164"/>
      <c r="C394" s="159" t="s">
        <v>187</v>
      </c>
      <c r="D394" s="185"/>
      <c r="E394" s="127"/>
      <c r="F394" s="98"/>
      <c r="G394" s="102" t="e">
        <f>SUM(G384:G393)</f>
        <v>#REF!</v>
      </c>
    </row>
    <row r="395" spans="1:7" s="165" customFormat="1" ht="25.5" hidden="1">
      <c r="A395" s="179"/>
      <c r="B395" s="164"/>
      <c r="C395" s="159" t="s">
        <v>188</v>
      </c>
      <c r="D395" s="185"/>
      <c r="E395" s="127" t="e">
        <f>G394</f>
        <v>#REF!</v>
      </c>
      <c r="F395" s="98">
        <v>0.01</v>
      </c>
      <c r="G395" s="102"/>
    </row>
    <row r="396" spans="1:7" s="165" customFormat="1" hidden="1">
      <c r="A396" s="179"/>
      <c r="B396" s="164"/>
      <c r="C396" s="159" t="s">
        <v>189</v>
      </c>
      <c r="D396" s="185"/>
      <c r="E396" s="127"/>
      <c r="F396" s="98"/>
      <c r="G396" s="102" t="e">
        <f>SUM(G394:G395)</f>
        <v>#REF!</v>
      </c>
    </row>
    <row r="397" spans="1:7" s="165" customFormat="1" hidden="1">
      <c r="A397" s="179"/>
      <c r="B397" s="164"/>
      <c r="C397" s="183" t="s">
        <v>190</v>
      </c>
      <c r="D397" s="185"/>
      <c r="E397" s="275">
        <f>Lead!Q27</f>
        <v>0.13614999999999999</v>
      </c>
      <c r="F397" s="98" t="e">
        <f>G396</f>
        <v>#REF!</v>
      </c>
      <c r="G397" s="102" t="e">
        <f>ROUND(F397*E397,2)</f>
        <v>#REF!</v>
      </c>
    </row>
    <row r="398" spans="1:7" s="165" customFormat="1" hidden="1">
      <c r="A398" s="179"/>
      <c r="B398" s="164"/>
      <c r="C398" s="158" t="s">
        <v>191</v>
      </c>
      <c r="D398" s="185"/>
      <c r="E398" s="127"/>
      <c r="F398" s="98"/>
      <c r="G398" s="102" t="e">
        <f>SUM(G396:G397)</f>
        <v>#REF!</v>
      </c>
    </row>
    <row r="399" spans="1:7" s="165" customFormat="1" hidden="1">
      <c r="A399" s="179"/>
      <c r="B399" s="164"/>
      <c r="C399" s="159" t="s">
        <v>192</v>
      </c>
      <c r="D399" s="185"/>
      <c r="E399" s="127"/>
      <c r="F399" s="98" t="s">
        <v>154</v>
      </c>
      <c r="G399" s="101" t="e">
        <f>ROUND(G398/30,2)</f>
        <v>#REF!</v>
      </c>
    </row>
    <row r="400" spans="1:7" s="165" customFormat="1" hidden="1">
      <c r="A400" s="179"/>
      <c r="B400" s="164" t="s">
        <v>261</v>
      </c>
      <c r="C400" s="159" t="s">
        <v>220</v>
      </c>
      <c r="D400" s="185"/>
      <c r="E400" s="127"/>
      <c r="F400" s="98"/>
      <c r="G400" s="102"/>
    </row>
    <row r="401" spans="1:7" s="165" customFormat="1" hidden="1">
      <c r="A401" s="179"/>
      <c r="B401" s="164"/>
      <c r="C401" s="159" t="s">
        <v>179</v>
      </c>
      <c r="D401" s="185"/>
      <c r="E401" s="127"/>
      <c r="F401" s="98"/>
      <c r="G401" s="102"/>
    </row>
    <row r="402" spans="1:7" s="165" customFormat="1" ht="15" hidden="1">
      <c r="A402" s="179"/>
      <c r="B402" s="164"/>
      <c r="C402" s="158" t="s">
        <v>345</v>
      </c>
      <c r="D402" s="185" t="s">
        <v>18</v>
      </c>
      <c r="E402" s="127">
        <v>1.8</v>
      </c>
      <c r="F402" s="98">
        <f>Lead!R26</f>
        <v>0</v>
      </c>
      <c r="G402" s="102">
        <f>ROUND(F402*E402,2)</f>
        <v>0</v>
      </c>
    </row>
    <row r="403" spans="1:7" s="165" customFormat="1" ht="15" hidden="1">
      <c r="A403" s="179"/>
      <c r="B403" s="164"/>
      <c r="C403" s="158" t="s">
        <v>347</v>
      </c>
      <c r="D403" s="185" t="s">
        <v>18</v>
      </c>
      <c r="E403" s="127">
        <v>4.2</v>
      </c>
      <c r="F403" s="98">
        <f>Lead!R27</f>
        <v>0</v>
      </c>
      <c r="G403" s="102">
        <f>ROUND(F403*E403,2)</f>
        <v>0</v>
      </c>
    </row>
    <row r="404" spans="1:7" s="165" customFormat="1" hidden="1">
      <c r="A404" s="179"/>
      <c r="B404" s="164"/>
      <c r="C404" s="158" t="s">
        <v>243</v>
      </c>
      <c r="D404" s="185" t="s">
        <v>18</v>
      </c>
      <c r="E404" s="127">
        <v>8</v>
      </c>
      <c r="F404" s="98">
        <f>Lead!R24</f>
        <v>445</v>
      </c>
      <c r="G404" s="102">
        <f>ROUND(F404*E404,2)</f>
        <v>3560</v>
      </c>
    </row>
    <row r="405" spans="1:7" s="165" customFormat="1" hidden="1">
      <c r="A405" s="179"/>
      <c r="B405" s="164"/>
      <c r="C405" s="158" t="s">
        <v>180</v>
      </c>
      <c r="D405" s="185" t="s">
        <v>18</v>
      </c>
      <c r="E405" s="127">
        <v>1.75</v>
      </c>
      <c r="F405" s="98">
        <f>Lead!R25</f>
        <v>0</v>
      </c>
      <c r="G405" s="102">
        <f>ROUND(F405*E405,2)</f>
        <v>0</v>
      </c>
    </row>
    <row r="406" spans="1:7" s="165" customFormat="1" hidden="1">
      <c r="A406" s="179"/>
      <c r="B406" s="164"/>
      <c r="C406" s="153" t="s">
        <v>315</v>
      </c>
      <c r="D406" s="125"/>
      <c r="E406" s="125">
        <f>Lead!Q26</f>
        <v>0.4</v>
      </c>
      <c r="F406" s="91">
        <f>SUM(G402:G405)</f>
        <v>3560</v>
      </c>
      <c r="G406" s="92">
        <f>ROUND(F406*E406,2)</f>
        <v>1424</v>
      </c>
    </row>
    <row r="407" spans="1:7" s="165" customFormat="1" hidden="1">
      <c r="A407" s="179"/>
      <c r="B407" s="164"/>
      <c r="C407" s="159" t="s">
        <v>245</v>
      </c>
      <c r="D407" s="185"/>
      <c r="E407" s="127"/>
      <c r="F407" s="98"/>
      <c r="G407" s="102"/>
    </row>
    <row r="408" spans="1:7" s="165" customFormat="1" hidden="1">
      <c r="A408" s="179"/>
      <c r="B408" s="164"/>
      <c r="C408" s="158" t="s">
        <v>221</v>
      </c>
      <c r="D408" s="185" t="s">
        <v>247</v>
      </c>
      <c r="E408" s="127">
        <v>50</v>
      </c>
      <c r="F408" s="98">
        <v>0</v>
      </c>
      <c r="G408" s="102">
        <f>ROUND(F408*E408,2)</f>
        <v>0</v>
      </c>
    </row>
    <row r="409" spans="1:7" s="165" customFormat="1" hidden="1">
      <c r="A409" s="179"/>
      <c r="B409" s="164"/>
      <c r="C409" s="158" t="s">
        <v>183</v>
      </c>
      <c r="D409" s="185" t="s">
        <v>96</v>
      </c>
      <c r="E409" s="127">
        <v>0.25600000000000001</v>
      </c>
      <c r="F409" s="98" t="e">
        <f>Lead!R8</f>
        <v>#REF!</v>
      </c>
      <c r="G409" s="102" t="e">
        <f>ROUND(F409*E409,2)</f>
        <v>#REF!</v>
      </c>
    </row>
    <row r="410" spans="1:7" s="165" customFormat="1" hidden="1">
      <c r="A410" s="179"/>
      <c r="B410" s="164"/>
      <c r="C410" s="158" t="s">
        <v>185</v>
      </c>
      <c r="D410" s="185" t="s">
        <v>290</v>
      </c>
      <c r="E410" s="127">
        <v>0.18099999999999999</v>
      </c>
      <c r="F410" s="98">
        <f>Lead!R10</f>
        <v>2474.56</v>
      </c>
      <c r="G410" s="102">
        <f>ROUND(F410*E410,2)</f>
        <v>447.9</v>
      </c>
    </row>
    <row r="411" spans="1:7" s="165" customFormat="1" hidden="1">
      <c r="A411" s="179"/>
      <c r="B411" s="164"/>
      <c r="C411" s="158" t="s">
        <v>186</v>
      </c>
      <c r="D411" s="185" t="s">
        <v>125</v>
      </c>
      <c r="E411" s="127">
        <v>24</v>
      </c>
      <c r="F411" s="98">
        <v>134</v>
      </c>
      <c r="G411" s="102">
        <f>ROUND(F411*E411,2)</f>
        <v>3216</v>
      </c>
    </row>
    <row r="412" spans="1:7" s="165" customFormat="1" hidden="1">
      <c r="A412" s="179"/>
      <c r="B412" s="164"/>
      <c r="C412" s="159" t="s">
        <v>187</v>
      </c>
      <c r="D412" s="185"/>
      <c r="E412" s="127"/>
      <c r="F412" s="98"/>
      <c r="G412" s="102" t="e">
        <f>SUM(G402:G411)</f>
        <v>#REF!</v>
      </c>
    </row>
    <row r="413" spans="1:7" s="165" customFormat="1" ht="25.5" hidden="1">
      <c r="A413" s="179"/>
      <c r="B413" s="164"/>
      <c r="C413" s="159" t="s">
        <v>188</v>
      </c>
      <c r="D413" s="185"/>
      <c r="E413" s="127" t="e">
        <f>G412</f>
        <v>#REF!</v>
      </c>
      <c r="F413" s="98">
        <v>0.01</v>
      </c>
      <c r="G413" s="102" t="e">
        <f>ROUND(F413*E413,2)</f>
        <v>#REF!</v>
      </c>
    </row>
    <row r="414" spans="1:7" s="165" customFormat="1" hidden="1">
      <c r="A414" s="179"/>
      <c r="B414" s="164"/>
      <c r="C414" s="159" t="s">
        <v>189</v>
      </c>
      <c r="D414" s="185"/>
      <c r="E414" s="127"/>
      <c r="F414" s="98"/>
      <c r="G414" s="102" t="e">
        <f>SUM(G412:G413)</f>
        <v>#REF!</v>
      </c>
    </row>
    <row r="415" spans="1:7" s="165" customFormat="1" hidden="1">
      <c r="A415" s="179"/>
      <c r="B415" s="164"/>
      <c r="C415" s="183" t="s">
        <v>190</v>
      </c>
      <c r="D415" s="185"/>
      <c r="E415" s="275">
        <f>Lead!Q27</f>
        <v>0.13614999999999999</v>
      </c>
      <c r="F415" s="98" t="e">
        <f>G414</f>
        <v>#REF!</v>
      </c>
      <c r="G415" s="102" t="e">
        <f>ROUND(F415*E415,2)</f>
        <v>#REF!</v>
      </c>
    </row>
    <row r="416" spans="1:7" s="165" customFormat="1" hidden="1">
      <c r="A416" s="179"/>
      <c r="B416" s="164"/>
      <c r="C416" s="158" t="s">
        <v>191</v>
      </c>
      <c r="D416" s="185"/>
      <c r="E416" s="127"/>
      <c r="F416" s="98"/>
      <c r="G416" s="102" t="e">
        <f>SUM(G414:G415)</f>
        <v>#REF!</v>
      </c>
    </row>
    <row r="417" spans="1:7" s="165" customFormat="1" hidden="1">
      <c r="A417" s="179"/>
      <c r="B417" s="164"/>
      <c r="C417" s="159" t="s">
        <v>192</v>
      </c>
      <c r="D417" s="185"/>
      <c r="E417" s="127"/>
      <c r="F417" s="98" t="s">
        <v>154</v>
      </c>
      <c r="G417" s="101" t="e">
        <f>ROUND(G416/30,2)</f>
        <v>#REF!</v>
      </c>
    </row>
    <row r="418" spans="1:7" s="165" customFormat="1" hidden="1">
      <c r="A418" s="179"/>
      <c r="B418" s="164" t="s">
        <v>263</v>
      </c>
      <c r="C418" s="159" t="s">
        <v>222</v>
      </c>
      <c r="D418" s="185"/>
      <c r="E418" s="127"/>
      <c r="F418" s="98"/>
      <c r="G418" s="102"/>
    </row>
    <row r="419" spans="1:7" s="165" customFormat="1" hidden="1">
      <c r="A419" s="179"/>
      <c r="B419" s="164"/>
      <c r="C419" s="159" t="s">
        <v>179</v>
      </c>
      <c r="D419" s="185"/>
      <c r="E419" s="127"/>
      <c r="F419" s="98"/>
      <c r="G419" s="102"/>
    </row>
    <row r="420" spans="1:7" s="165" customFormat="1" ht="15" hidden="1">
      <c r="A420" s="179"/>
      <c r="B420" s="164"/>
      <c r="C420" s="158" t="s">
        <v>345</v>
      </c>
      <c r="D420" s="185" t="s">
        <v>18</v>
      </c>
      <c r="E420" s="127">
        <v>2.1</v>
      </c>
      <c r="F420" s="98">
        <f>Lead!R26</f>
        <v>0</v>
      </c>
      <c r="G420" s="102">
        <f>ROUND(F420*E420,2)</f>
        <v>0</v>
      </c>
    </row>
    <row r="421" spans="1:7" s="165" customFormat="1" ht="15" hidden="1">
      <c r="A421" s="179"/>
      <c r="B421" s="164"/>
      <c r="C421" s="158" t="s">
        <v>347</v>
      </c>
      <c r="D421" s="185" t="s">
        <v>18</v>
      </c>
      <c r="E421" s="127">
        <v>4.9000000000000004</v>
      </c>
      <c r="F421" s="98">
        <f>Lead!R27</f>
        <v>0</v>
      </c>
      <c r="G421" s="102">
        <f>ROUND(F421*E421,2)</f>
        <v>0</v>
      </c>
    </row>
    <row r="422" spans="1:7" s="165" customFormat="1" hidden="1">
      <c r="A422" s="179"/>
      <c r="B422" s="164"/>
      <c r="C422" s="158" t="s">
        <v>243</v>
      </c>
      <c r="D422" s="185" t="s">
        <v>18</v>
      </c>
      <c r="E422" s="127">
        <v>10</v>
      </c>
      <c r="F422" s="98">
        <f>Lead!R24</f>
        <v>445</v>
      </c>
      <c r="G422" s="102">
        <f>ROUND(F422*E422,2)</f>
        <v>4450</v>
      </c>
    </row>
    <row r="423" spans="1:7" s="165" customFormat="1" hidden="1">
      <c r="A423" s="179"/>
      <c r="B423" s="164"/>
      <c r="C423" s="158" t="s">
        <v>180</v>
      </c>
      <c r="D423" s="185" t="s">
        <v>18</v>
      </c>
      <c r="E423" s="127">
        <v>2</v>
      </c>
      <c r="F423" s="98">
        <f>Lead!R25</f>
        <v>0</v>
      </c>
      <c r="G423" s="102">
        <f>ROUND(F423*E423,2)</f>
        <v>0</v>
      </c>
    </row>
    <row r="424" spans="1:7" s="165" customFormat="1" hidden="1">
      <c r="A424" s="179"/>
      <c r="B424" s="164"/>
      <c r="C424" s="153" t="s">
        <v>315</v>
      </c>
      <c r="D424" s="125"/>
      <c r="E424" s="125">
        <f>Lead!Q26</f>
        <v>0.4</v>
      </c>
      <c r="F424" s="91">
        <f>SUM(G420:G423)</f>
        <v>4450</v>
      </c>
      <c r="G424" s="92">
        <f>ROUND(F424*E424,2)</f>
        <v>1780</v>
      </c>
    </row>
    <row r="425" spans="1:7" s="165" customFormat="1" hidden="1">
      <c r="A425" s="179"/>
      <c r="B425" s="164"/>
      <c r="C425" s="159" t="s">
        <v>245</v>
      </c>
      <c r="D425" s="185"/>
      <c r="E425" s="127"/>
      <c r="F425" s="98"/>
      <c r="G425" s="102"/>
    </row>
    <row r="426" spans="1:7" s="165" customFormat="1" hidden="1">
      <c r="A426" s="179"/>
      <c r="B426" s="164"/>
      <c r="C426" s="158" t="s">
        <v>223</v>
      </c>
      <c r="D426" s="185" t="s">
        <v>247</v>
      </c>
      <c r="E426" s="127">
        <v>50</v>
      </c>
      <c r="F426" s="98">
        <v>0</v>
      </c>
      <c r="G426" s="102">
        <f>ROUND(F426*E426,2)</f>
        <v>0</v>
      </c>
    </row>
    <row r="427" spans="1:7" s="165" customFormat="1" hidden="1">
      <c r="A427" s="179"/>
      <c r="B427" s="164"/>
      <c r="C427" s="158" t="s">
        <v>183</v>
      </c>
      <c r="D427" s="185" t="s">
        <v>96</v>
      </c>
      <c r="E427" s="127">
        <v>0.29299999999999998</v>
      </c>
      <c r="F427" s="98" t="e">
        <f>Lead!R8</f>
        <v>#REF!</v>
      </c>
      <c r="G427" s="102" t="e">
        <f>ROUND(F427*E427,2)</f>
        <v>#REF!</v>
      </c>
    </row>
    <row r="428" spans="1:7" s="165" customFormat="1" hidden="1">
      <c r="A428" s="179"/>
      <c r="B428" s="164"/>
      <c r="C428" s="158" t="s">
        <v>185</v>
      </c>
      <c r="D428" s="185" t="s">
        <v>290</v>
      </c>
      <c r="E428" s="127">
        <v>0.20399999999999999</v>
      </c>
      <c r="F428" s="98">
        <f>Lead!R10</f>
        <v>2474.56</v>
      </c>
      <c r="G428" s="102">
        <f>ROUND(F428*E428,2)</f>
        <v>504.81</v>
      </c>
    </row>
    <row r="429" spans="1:7" s="165" customFormat="1" hidden="1">
      <c r="A429" s="179"/>
      <c r="B429" s="164"/>
      <c r="C429" s="158" t="s">
        <v>186</v>
      </c>
      <c r="D429" s="185" t="s">
        <v>125</v>
      </c>
      <c r="E429" s="127">
        <v>27</v>
      </c>
      <c r="F429" s="98">
        <v>134</v>
      </c>
      <c r="G429" s="102">
        <f>ROUND(F429*E429,2)</f>
        <v>3618</v>
      </c>
    </row>
    <row r="430" spans="1:7" s="165" customFormat="1" hidden="1">
      <c r="A430" s="179"/>
      <c r="B430" s="164"/>
      <c r="C430" s="159" t="s">
        <v>187</v>
      </c>
      <c r="D430" s="185"/>
      <c r="E430" s="127"/>
      <c r="F430" s="98"/>
      <c r="G430" s="102" t="e">
        <f>SUM(G420:G429)</f>
        <v>#REF!</v>
      </c>
    </row>
    <row r="431" spans="1:7" s="165" customFormat="1" ht="25.5" hidden="1">
      <c r="A431" s="179"/>
      <c r="B431" s="164"/>
      <c r="C431" s="159" t="s">
        <v>188</v>
      </c>
      <c r="D431" s="185"/>
      <c r="E431" s="127" t="e">
        <f>G430</f>
        <v>#REF!</v>
      </c>
      <c r="F431" s="98">
        <v>0.01</v>
      </c>
      <c r="G431" s="102" t="e">
        <f>ROUND(F431*E431,2)</f>
        <v>#REF!</v>
      </c>
    </row>
    <row r="432" spans="1:7" s="165" customFormat="1" hidden="1">
      <c r="A432" s="179"/>
      <c r="B432" s="164"/>
      <c r="C432" s="159" t="s">
        <v>189</v>
      </c>
      <c r="D432" s="185"/>
      <c r="E432" s="127"/>
      <c r="F432" s="98"/>
      <c r="G432" s="102" t="e">
        <f>SUM(G430:G431)</f>
        <v>#REF!</v>
      </c>
    </row>
    <row r="433" spans="1:8" s="165" customFormat="1" hidden="1">
      <c r="A433" s="179"/>
      <c r="B433" s="164"/>
      <c r="C433" s="183" t="s">
        <v>190</v>
      </c>
      <c r="D433" s="185"/>
      <c r="E433" s="275">
        <f>Lead!Q27</f>
        <v>0.13614999999999999</v>
      </c>
      <c r="F433" s="98" t="e">
        <f>G432</f>
        <v>#REF!</v>
      </c>
      <c r="G433" s="102" t="e">
        <f>ROUND(F433*E433,2)</f>
        <v>#REF!</v>
      </c>
    </row>
    <row r="434" spans="1:8" s="165" customFormat="1" hidden="1">
      <c r="A434" s="179"/>
      <c r="B434" s="164"/>
      <c r="C434" s="158" t="s">
        <v>191</v>
      </c>
      <c r="D434" s="185"/>
      <c r="E434" s="127"/>
      <c r="F434" s="98"/>
      <c r="G434" s="102" t="e">
        <f>SUM(G432:G433)</f>
        <v>#REF!</v>
      </c>
    </row>
    <row r="435" spans="1:8" s="165" customFormat="1" hidden="1">
      <c r="A435" s="179"/>
      <c r="B435" s="164"/>
      <c r="C435" s="159" t="s">
        <v>192</v>
      </c>
      <c r="D435" s="185"/>
      <c r="E435" s="127"/>
      <c r="F435" s="98" t="s">
        <v>154</v>
      </c>
      <c r="G435" s="101" t="e">
        <f>ROUND(G434/30,2)</f>
        <v>#REF!</v>
      </c>
    </row>
    <row r="436" spans="1:8" ht="167.25" customHeight="1">
      <c r="A436" s="186"/>
      <c r="B436" s="164">
        <v>27</v>
      </c>
      <c r="C436" s="187" t="s">
        <v>170</v>
      </c>
      <c r="D436" s="172"/>
      <c r="E436" s="132"/>
      <c r="F436" s="113"/>
      <c r="G436" s="114"/>
    </row>
    <row r="437" spans="1:8" ht="18" customHeight="1">
      <c r="A437" s="186"/>
      <c r="B437" s="188"/>
      <c r="C437" s="187" t="s">
        <v>203</v>
      </c>
      <c r="D437" s="172" t="s">
        <v>109</v>
      </c>
      <c r="E437" s="132">
        <v>0.14299999999999999</v>
      </c>
      <c r="F437" s="115">
        <f>'Datas P7'!G226</f>
        <v>5383.2900000000009</v>
      </c>
      <c r="G437" s="116">
        <f>+ROUND(E437*F437,2)</f>
        <v>769.81</v>
      </c>
    </row>
    <row r="438" spans="1:8" ht="51.75" customHeight="1">
      <c r="A438" s="186"/>
      <c r="B438" s="189"/>
      <c r="C438" s="267" t="s">
        <v>640</v>
      </c>
      <c r="D438" s="172" t="s">
        <v>109</v>
      </c>
      <c r="E438" s="132">
        <v>0.19</v>
      </c>
      <c r="F438" s="113">
        <f>'Datas P7'!G273</f>
        <v>9540.84</v>
      </c>
      <c r="G438" s="116">
        <f>+ROUND(E438*F438,2)</f>
        <v>1812.76</v>
      </c>
    </row>
    <row r="439" spans="1:8" ht="39" customHeight="1">
      <c r="A439" s="186"/>
      <c r="B439" s="188"/>
      <c r="C439" s="267" t="s">
        <v>330</v>
      </c>
      <c r="D439" s="172" t="s">
        <v>109</v>
      </c>
      <c r="E439" s="132">
        <v>0.28599999999999998</v>
      </c>
      <c r="F439" s="113">
        <f>F438</f>
        <v>9540.84</v>
      </c>
      <c r="G439" s="116">
        <f>+ROUND(E439*F439,2)</f>
        <v>2728.68</v>
      </c>
    </row>
    <row r="440" spans="1:8" ht="54.75" customHeight="1">
      <c r="A440" s="186"/>
      <c r="B440" s="188"/>
      <c r="C440" s="267" t="str">
        <f>CONCATENATE("External Plastering in CM(1:4) of 12 mm thick vertical portion PI*1.21*0.30 =1.139 Carbelling Portion PI(1.21+0.96)/2*.45 =1.53 ","Dedcut Pipe Portion 2*PI()/4",Lead!I37*Lead!I37)</f>
        <v>External Plastering in CM(1:4) of 12 mm thick vertical portion PI*1.21*0.30 =1.139 Carbelling Portion PI(1.21+0.96)/2*.45 =1.53 Dedcut Pipe Portion 2*PI()/40</v>
      </c>
      <c r="D440" s="172" t="s">
        <v>326</v>
      </c>
      <c r="E440" s="132">
        <v>2.58</v>
      </c>
      <c r="F440" s="113">
        <f>'Datas P7'!G298</f>
        <v>170.45499999999998</v>
      </c>
      <c r="G440" s="116">
        <f>+ROUND(E440*F440/10,2)</f>
        <v>43.98</v>
      </c>
    </row>
    <row r="441" spans="1:8" ht="55.5" customHeight="1">
      <c r="A441" s="186"/>
      <c r="B441" s="188"/>
      <c r="C441" s="267" t="s">
        <v>413</v>
      </c>
      <c r="D441" s="172" t="s">
        <v>326</v>
      </c>
      <c r="E441" s="132">
        <v>1.66</v>
      </c>
      <c r="F441" s="113">
        <f>'Datas P7'!G308</f>
        <v>2594.8599999999997</v>
      </c>
      <c r="G441" s="116">
        <f>+ROUND(E441*F441/10,2)</f>
        <v>430.75</v>
      </c>
    </row>
    <row r="442" spans="1:8" ht="54.75" customHeight="1">
      <c r="A442" s="186"/>
      <c r="B442" s="188"/>
      <c r="C442" s="189" t="s">
        <v>332</v>
      </c>
      <c r="D442" s="172" t="s">
        <v>109</v>
      </c>
      <c r="E442" s="132">
        <v>0.1</v>
      </c>
      <c r="F442" s="113">
        <f>'Datas P7'!G258</f>
        <v>6018.18</v>
      </c>
      <c r="G442" s="116">
        <f>+ROUND(E442*F442,2)</f>
        <v>601.82000000000005</v>
      </c>
    </row>
    <row r="443" spans="1:8">
      <c r="A443" s="186" t="s">
        <v>414</v>
      </c>
      <c r="B443" s="188"/>
      <c r="C443" s="189" t="s">
        <v>395</v>
      </c>
      <c r="D443" s="172" t="s">
        <v>55</v>
      </c>
      <c r="E443" s="132">
        <v>0</v>
      </c>
      <c r="F443" s="113">
        <v>66</v>
      </c>
      <c r="G443" s="116">
        <f>+ROUND(E443*F443,2)</f>
        <v>0</v>
      </c>
      <c r="H443" s="141">
        <v>65</v>
      </c>
    </row>
    <row r="444" spans="1:8">
      <c r="A444" s="186"/>
      <c r="B444" s="188"/>
      <c r="C444" s="190" t="s">
        <v>227</v>
      </c>
      <c r="D444" s="172" t="s">
        <v>226</v>
      </c>
      <c r="E444" s="132">
        <v>1</v>
      </c>
      <c r="F444" s="113">
        <v>140</v>
      </c>
      <c r="G444" s="116">
        <f>+ROUND(E444*F444,2)</f>
        <v>140</v>
      </c>
    </row>
    <row r="445" spans="1:8">
      <c r="A445" s="180"/>
      <c r="B445" s="191"/>
      <c r="C445" s="192" t="s">
        <v>106</v>
      </c>
      <c r="D445" s="172" t="s">
        <v>226</v>
      </c>
      <c r="E445" s="132"/>
      <c r="F445" s="113"/>
      <c r="G445" s="117">
        <f>SUM(G437:G444)</f>
        <v>6527.7999999999993</v>
      </c>
    </row>
    <row r="446" spans="1:8" s="197" customFormat="1">
      <c r="A446" s="193"/>
      <c r="B446" s="194"/>
      <c r="C446" s="195" t="s">
        <v>319</v>
      </c>
      <c r="D446" s="196"/>
      <c r="E446" s="133"/>
      <c r="F446" s="118"/>
      <c r="G446" s="119"/>
    </row>
    <row r="447" spans="1:8" s="197" customFormat="1">
      <c r="A447" s="193"/>
      <c r="B447" s="194"/>
      <c r="C447" s="278" t="s">
        <v>320</v>
      </c>
      <c r="D447" s="196" t="s">
        <v>109</v>
      </c>
      <c r="E447" s="134">
        <f>(E442+E437)*0.9</f>
        <v>0.21870000000000001</v>
      </c>
      <c r="F447" s="118">
        <f>Lead!T17</f>
        <v>75</v>
      </c>
      <c r="G447" s="90">
        <f>ROUND(F447*E447,2)</f>
        <v>16.399999999999999</v>
      </c>
    </row>
    <row r="448" spans="1:8" s="197" customFormat="1">
      <c r="A448" s="193"/>
      <c r="B448" s="194"/>
      <c r="C448" s="278" t="s">
        <v>321</v>
      </c>
      <c r="D448" s="196" t="s">
        <v>109</v>
      </c>
      <c r="E448" s="134">
        <f>(E437+E442)*0.45+(E438+E439)*0.2+E440*0.015+E441*0.021</f>
        <v>0.27811000000000002</v>
      </c>
      <c r="F448" s="118">
        <f>Lead!T10</f>
        <v>90</v>
      </c>
      <c r="G448" s="90">
        <f>ROUND(F448*E448,2)</f>
        <v>25.03</v>
      </c>
    </row>
    <row r="449" spans="1:7" s="197" customFormat="1">
      <c r="A449" s="193"/>
      <c r="B449" s="194"/>
      <c r="C449" s="278" t="s">
        <v>322</v>
      </c>
      <c r="D449" s="196"/>
      <c r="E449" s="133">
        <f>(E438+E439)*512</f>
        <v>243.71199999999999</v>
      </c>
      <c r="F449" s="118">
        <f>Lead!T15</f>
        <v>0</v>
      </c>
      <c r="G449" s="90">
        <f>ROUND(F449*E449/1000,2)</f>
        <v>0</v>
      </c>
    </row>
    <row r="450" spans="1:7" s="197" customFormat="1">
      <c r="A450" s="193"/>
      <c r="B450" s="194"/>
      <c r="C450" s="146" t="s">
        <v>273</v>
      </c>
      <c r="D450" s="196"/>
      <c r="E450" s="133"/>
      <c r="F450" s="118" t="s">
        <v>154</v>
      </c>
      <c r="G450" s="96">
        <f>SUM(G445:G449)</f>
        <v>6569.2299999999987</v>
      </c>
    </row>
    <row r="451" spans="1:7" ht="156.75" customHeight="1">
      <c r="A451" s="186"/>
      <c r="B451" s="164" t="s">
        <v>416</v>
      </c>
      <c r="C451" s="187" t="s">
        <v>323</v>
      </c>
      <c r="D451" s="172"/>
      <c r="E451" s="132"/>
      <c r="F451" s="113"/>
      <c r="G451" s="116"/>
    </row>
    <row r="452" spans="1:7" ht="25.5">
      <c r="A452" s="186"/>
      <c r="B452" s="177"/>
      <c r="C452" s="187" t="s">
        <v>333</v>
      </c>
      <c r="D452" s="172" t="s">
        <v>109</v>
      </c>
      <c r="E452" s="132">
        <v>7.0999999999999994E-2</v>
      </c>
      <c r="F452" s="113">
        <f>F438</f>
        <v>9540.84</v>
      </c>
      <c r="G452" s="116">
        <f>+ROUND(E452*F452,2)</f>
        <v>677.4</v>
      </c>
    </row>
    <row r="453" spans="1:7" ht="25.5">
      <c r="A453" s="186"/>
      <c r="B453" s="177"/>
      <c r="C453" s="187" t="s">
        <v>204</v>
      </c>
      <c r="D453" s="172" t="s">
        <v>326</v>
      </c>
      <c r="E453" s="132">
        <v>0.38</v>
      </c>
      <c r="F453" s="113">
        <f>F440</f>
        <v>170.45499999999998</v>
      </c>
      <c r="G453" s="116">
        <f>+ROUND(E453*F453/10,2)</f>
        <v>6.48</v>
      </c>
    </row>
    <row r="454" spans="1:7" ht="25.5">
      <c r="A454" s="186"/>
      <c r="B454" s="177"/>
      <c r="C454" s="187" t="s">
        <v>205</v>
      </c>
      <c r="D454" s="172" t="s">
        <v>326</v>
      </c>
      <c r="E454" s="132">
        <v>0.23599999999999999</v>
      </c>
      <c r="F454" s="113">
        <f>F441</f>
        <v>2594.8599999999997</v>
      </c>
      <c r="G454" s="116">
        <f>+ROUND(E454*F454/10,2)</f>
        <v>61.24</v>
      </c>
    </row>
    <row r="455" spans="1:7" s="197" customFormat="1">
      <c r="A455" s="193"/>
      <c r="B455" s="194"/>
      <c r="C455" s="195" t="s">
        <v>319</v>
      </c>
      <c r="D455" s="196"/>
      <c r="E455" s="133"/>
      <c r="F455" s="118"/>
      <c r="G455" s="119"/>
    </row>
    <row r="456" spans="1:7" s="197" customFormat="1">
      <c r="A456" s="193"/>
      <c r="B456" s="194"/>
      <c r="C456" s="195" t="s">
        <v>321</v>
      </c>
      <c r="D456" s="196"/>
      <c r="E456" s="134">
        <f>(E453*0.15+E454*0.21)/10+E452*0.2</f>
        <v>2.4855999999999996E-2</v>
      </c>
      <c r="F456" s="118">
        <f>F448</f>
        <v>90</v>
      </c>
      <c r="G456" s="90">
        <f>ROUND(F456*E456,2)</f>
        <v>2.2400000000000002</v>
      </c>
    </row>
    <row r="457" spans="1:7" s="197" customFormat="1">
      <c r="A457" s="193"/>
      <c r="B457" s="194"/>
      <c r="C457" s="195" t="s">
        <v>322</v>
      </c>
      <c r="D457" s="196"/>
      <c r="E457" s="269">
        <f>ROUND(E452*0.512,3)</f>
        <v>3.5999999999999997E-2</v>
      </c>
      <c r="F457" s="118">
        <f>F449</f>
        <v>0</v>
      </c>
      <c r="G457" s="90">
        <f>ROUND(F457*E457,2)</f>
        <v>0</v>
      </c>
    </row>
    <row r="458" spans="1:7">
      <c r="A458" s="186"/>
      <c r="B458" s="177"/>
      <c r="C458" s="187"/>
      <c r="D458" s="172"/>
      <c r="E458" s="132"/>
      <c r="F458" s="113"/>
      <c r="G458" s="116"/>
    </row>
    <row r="459" spans="1:7">
      <c r="A459" s="186"/>
      <c r="B459" s="177"/>
      <c r="C459" s="192" t="s">
        <v>228</v>
      </c>
      <c r="D459" s="172"/>
      <c r="E459" s="132"/>
      <c r="F459" s="113"/>
      <c r="G459" s="270">
        <f>SUM(G452:G457)</f>
        <v>747.36</v>
      </c>
    </row>
    <row r="460" spans="1:7">
      <c r="A460" s="186"/>
      <c r="B460" s="177"/>
      <c r="C460" s="192" t="s">
        <v>298</v>
      </c>
      <c r="D460" s="172"/>
      <c r="E460" s="132"/>
      <c r="F460" s="113"/>
      <c r="G460" s="116"/>
    </row>
    <row r="461" spans="1:7">
      <c r="A461" s="169"/>
      <c r="B461" s="160"/>
      <c r="C461" s="198" t="s">
        <v>210</v>
      </c>
      <c r="D461" s="181"/>
      <c r="E461" s="127">
        <f>G464</f>
        <v>4327.1499999999996</v>
      </c>
      <c r="F461" s="88">
        <f>-G459</f>
        <v>-747.36</v>
      </c>
      <c r="G461" s="107">
        <f>SUM(E461:F461)</f>
        <v>3579.7899999999995</v>
      </c>
    </row>
    <row r="462" spans="1:7">
      <c r="A462" s="169"/>
      <c r="B462" s="160"/>
      <c r="C462" s="158" t="s">
        <v>641</v>
      </c>
      <c r="D462" s="181"/>
      <c r="E462" s="127">
        <f>G461</f>
        <v>3579.7899999999995</v>
      </c>
      <c r="F462" s="88">
        <f>Lead!Q27</f>
        <v>0.13614999999999999</v>
      </c>
      <c r="G462" s="107">
        <f>ROUND(F462*E462,2)</f>
        <v>487.39</v>
      </c>
    </row>
    <row r="463" spans="1:7">
      <c r="A463" s="169"/>
      <c r="B463" s="160"/>
      <c r="C463" s="158" t="s">
        <v>1</v>
      </c>
      <c r="D463" s="181"/>
      <c r="E463" s="127"/>
      <c r="F463" s="88" t="s">
        <v>154</v>
      </c>
      <c r="G463" s="101">
        <f>SUM(G461:G462)</f>
        <v>4067.1799999999994</v>
      </c>
    </row>
    <row r="464" spans="1:7">
      <c r="A464" s="169"/>
      <c r="B464" s="160"/>
      <c r="C464" s="198" t="s">
        <v>209</v>
      </c>
      <c r="D464" s="181"/>
      <c r="E464" s="127">
        <f>G467</f>
        <v>5074.5099999999993</v>
      </c>
      <c r="F464" s="88">
        <f>-G459</f>
        <v>-747.36</v>
      </c>
      <c r="G464" s="107">
        <f>SUM(E464:F464)</f>
        <v>4327.1499999999996</v>
      </c>
    </row>
    <row r="465" spans="1:7">
      <c r="A465" s="169"/>
      <c r="B465" s="160"/>
      <c r="C465" s="158" t="s">
        <v>641</v>
      </c>
      <c r="D465" s="181"/>
      <c r="E465" s="127">
        <f>G464</f>
        <v>4327.1499999999996</v>
      </c>
      <c r="F465" s="88">
        <f>Lead!Q27</f>
        <v>0.13614999999999999</v>
      </c>
      <c r="G465" s="107">
        <f>ROUND(F465*E465,2)</f>
        <v>589.14</v>
      </c>
    </row>
    <row r="466" spans="1:7">
      <c r="A466" s="169"/>
      <c r="B466" s="160"/>
      <c r="C466" s="158" t="s">
        <v>1</v>
      </c>
      <c r="D466" s="181"/>
      <c r="E466" s="127"/>
      <c r="F466" s="88" t="s">
        <v>154</v>
      </c>
      <c r="G466" s="101">
        <f>SUM(G464:G465)</f>
        <v>4916.29</v>
      </c>
    </row>
    <row r="467" spans="1:7">
      <c r="A467" s="169"/>
      <c r="B467" s="160"/>
      <c r="C467" s="198" t="s">
        <v>208</v>
      </c>
      <c r="D467" s="181"/>
      <c r="E467" s="127">
        <f>G470</f>
        <v>5821.869999999999</v>
      </c>
      <c r="F467" s="88">
        <f>-G459</f>
        <v>-747.36</v>
      </c>
      <c r="G467" s="107">
        <f>SUM(E467:F467)</f>
        <v>5074.5099999999993</v>
      </c>
    </row>
    <row r="468" spans="1:7">
      <c r="A468" s="169"/>
      <c r="B468" s="160"/>
      <c r="C468" s="158" t="s">
        <v>641</v>
      </c>
      <c r="D468" s="181"/>
      <c r="E468" s="127">
        <f>G467</f>
        <v>5074.5099999999993</v>
      </c>
      <c r="F468" s="88">
        <f>Lead!Q27</f>
        <v>0.13614999999999999</v>
      </c>
      <c r="G468" s="107">
        <f>ROUND(F468*E468,2)</f>
        <v>690.89</v>
      </c>
    </row>
    <row r="469" spans="1:7">
      <c r="A469" s="169"/>
      <c r="B469" s="160"/>
      <c r="C469" s="158" t="s">
        <v>1</v>
      </c>
      <c r="D469" s="181"/>
      <c r="E469" s="127"/>
      <c r="F469" s="88" t="s">
        <v>154</v>
      </c>
      <c r="G469" s="101">
        <f>SUM(G467:G468)</f>
        <v>5765.4</v>
      </c>
    </row>
    <row r="470" spans="1:7" s="165" customFormat="1">
      <c r="A470" s="179"/>
      <c r="B470" s="164"/>
      <c r="C470" s="198" t="s">
        <v>207</v>
      </c>
      <c r="D470" s="185"/>
      <c r="E470" s="127">
        <f>G450</f>
        <v>6569.2299999999987</v>
      </c>
      <c r="F470" s="98">
        <f>-G459</f>
        <v>-747.36</v>
      </c>
      <c r="G470" s="103">
        <f>F470+E470</f>
        <v>5821.869999999999</v>
      </c>
    </row>
    <row r="471" spans="1:7">
      <c r="A471" s="169"/>
      <c r="B471" s="160"/>
      <c r="C471" s="158" t="s">
        <v>641</v>
      </c>
      <c r="D471" s="181"/>
      <c r="E471" s="127">
        <f>G470</f>
        <v>5821.869999999999</v>
      </c>
      <c r="F471" s="88">
        <f>Lead!Q27</f>
        <v>0.13614999999999999</v>
      </c>
      <c r="G471" s="107">
        <f>ROUND(F471*E471,2)</f>
        <v>792.65</v>
      </c>
    </row>
    <row r="472" spans="1:7">
      <c r="A472" s="169"/>
      <c r="B472" s="160"/>
      <c r="C472" s="158" t="s">
        <v>1</v>
      </c>
      <c r="D472" s="181"/>
      <c r="E472" s="127"/>
      <c r="F472" s="88" t="s">
        <v>154</v>
      </c>
      <c r="G472" s="101">
        <f>SUM(G470:G471)</f>
        <v>6614.5199999999986</v>
      </c>
    </row>
    <row r="473" spans="1:7" s="202" customFormat="1">
      <c r="A473" s="199"/>
      <c r="B473" s="200"/>
      <c r="C473" s="198" t="s">
        <v>206</v>
      </c>
      <c r="D473" s="201"/>
      <c r="E473" s="135">
        <f>G450</f>
        <v>6569.2299999999987</v>
      </c>
      <c r="F473" s="121"/>
      <c r="G473" s="120">
        <f>F473+E473</f>
        <v>6569.2299999999987</v>
      </c>
    </row>
    <row r="474" spans="1:7">
      <c r="A474" s="169"/>
      <c r="B474" s="160"/>
      <c r="C474" s="158" t="s">
        <v>641</v>
      </c>
      <c r="D474" s="181"/>
      <c r="E474" s="127">
        <f>G473</f>
        <v>6569.2299999999987</v>
      </c>
      <c r="F474" s="88">
        <f>Lead!Q27</f>
        <v>0.13614999999999999</v>
      </c>
      <c r="G474" s="107">
        <f>ROUND(F474*E474,2)</f>
        <v>894.4</v>
      </c>
    </row>
    <row r="475" spans="1:7">
      <c r="A475" s="169"/>
      <c r="B475" s="160"/>
      <c r="C475" s="158" t="s">
        <v>1</v>
      </c>
      <c r="D475" s="181"/>
      <c r="E475" s="127"/>
      <c r="F475" s="88" t="s">
        <v>154</v>
      </c>
      <c r="G475" s="101">
        <f>SUM(G473:G474)</f>
        <v>7463.6299999999983</v>
      </c>
    </row>
    <row r="476" spans="1:7">
      <c r="A476" s="169"/>
      <c r="B476" s="160"/>
      <c r="C476" s="198" t="s">
        <v>211</v>
      </c>
      <c r="D476" s="181"/>
      <c r="E476" s="127">
        <f>G473</f>
        <v>6569.2299999999987</v>
      </c>
      <c r="F476" s="88">
        <f>G459</f>
        <v>747.36</v>
      </c>
      <c r="G476" s="107">
        <f>F476+E476</f>
        <v>7316.5899999999983</v>
      </c>
    </row>
    <row r="477" spans="1:7">
      <c r="A477" s="169"/>
      <c r="B477" s="160"/>
      <c r="C477" s="158" t="s">
        <v>641</v>
      </c>
      <c r="D477" s="181"/>
      <c r="E477" s="127">
        <f>G476</f>
        <v>7316.5899999999983</v>
      </c>
      <c r="F477" s="88">
        <f>Lead!Q27</f>
        <v>0.13614999999999999</v>
      </c>
      <c r="G477" s="107">
        <f>ROUND(F477*E477,2)</f>
        <v>996.15</v>
      </c>
    </row>
    <row r="478" spans="1:7">
      <c r="A478" s="169"/>
      <c r="B478" s="160"/>
      <c r="C478" s="158" t="s">
        <v>1</v>
      </c>
      <c r="D478" s="181"/>
      <c r="E478" s="127"/>
      <c r="F478" s="88" t="s">
        <v>340</v>
      </c>
      <c r="G478" s="101">
        <f>SUM(G476:G477)</f>
        <v>8312.739999999998</v>
      </c>
    </row>
    <row r="479" spans="1:7">
      <c r="A479" s="169"/>
      <c r="B479" s="160"/>
      <c r="C479" s="198" t="s">
        <v>212</v>
      </c>
      <c r="D479" s="181"/>
      <c r="E479" s="127">
        <f>G476</f>
        <v>7316.5899999999983</v>
      </c>
      <c r="F479" s="88">
        <f>G459</f>
        <v>747.36</v>
      </c>
      <c r="G479" s="107">
        <f>F479+E479</f>
        <v>8063.949999999998</v>
      </c>
    </row>
    <row r="480" spans="1:7">
      <c r="A480" s="169"/>
      <c r="B480" s="160"/>
      <c r="C480" s="158" t="s">
        <v>641</v>
      </c>
      <c r="D480" s="181"/>
      <c r="E480" s="127">
        <f>G479</f>
        <v>8063.949999999998</v>
      </c>
      <c r="F480" s="88">
        <f>Lead!Q27</f>
        <v>0.13614999999999999</v>
      </c>
      <c r="G480" s="107">
        <f>ROUND(F480*E480,2)</f>
        <v>1097.9100000000001</v>
      </c>
    </row>
    <row r="481" spans="1:7">
      <c r="A481" s="169"/>
      <c r="B481" s="160"/>
      <c r="C481" s="158" t="s">
        <v>1</v>
      </c>
      <c r="D481" s="181"/>
      <c r="E481" s="127"/>
      <c r="F481" s="88" t="s">
        <v>154</v>
      </c>
      <c r="G481" s="101">
        <f>SUM(G479:G480)</f>
        <v>9161.8599999999988</v>
      </c>
    </row>
    <row r="482" spans="1:7">
      <c r="A482" s="169"/>
      <c r="B482" s="160"/>
      <c r="C482" s="198" t="s">
        <v>61</v>
      </c>
      <c r="D482" s="181"/>
      <c r="E482" s="127">
        <f>G479</f>
        <v>8063.949999999998</v>
      </c>
      <c r="F482" s="88">
        <f>G459</f>
        <v>747.36</v>
      </c>
      <c r="G482" s="107">
        <f>F482+E482</f>
        <v>8811.3099999999977</v>
      </c>
    </row>
    <row r="483" spans="1:7">
      <c r="A483" s="169"/>
      <c r="B483" s="160"/>
      <c r="C483" s="158" t="s">
        <v>641</v>
      </c>
      <c r="D483" s="181"/>
      <c r="E483" s="127">
        <f>G482</f>
        <v>8811.3099999999977</v>
      </c>
      <c r="F483" s="88">
        <f>Lead!Q27</f>
        <v>0.13614999999999999</v>
      </c>
      <c r="G483" s="107">
        <f>ROUND(F483*E483,2)</f>
        <v>1199.6600000000001</v>
      </c>
    </row>
    <row r="484" spans="1:7">
      <c r="A484" s="169"/>
      <c r="B484" s="160"/>
      <c r="C484" s="158" t="s">
        <v>1</v>
      </c>
      <c r="D484" s="181"/>
      <c r="E484" s="127"/>
      <c r="F484" s="88" t="s">
        <v>154</v>
      </c>
      <c r="G484" s="101">
        <f>SUM(G482:G483)</f>
        <v>10010.969999999998</v>
      </c>
    </row>
    <row r="485" spans="1:7">
      <c r="A485" s="169"/>
      <c r="B485" s="160"/>
      <c r="C485" s="198" t="s">
        <v>62</v>
      </c>
      <c r="D485" s="181"/>
      <c r="E485" s="127">
        <f>G482</f>
        <v>8811.3099999999977</v>
      </c>
      <c r="F485" s="88">
        <f>G459</f>
        <v>747.36</v>
      </c>
      <c r="G485" s="107">
        <f>F485+E485</f>
        <v>9558.6699999999983</v>
      </c>
    </row>
    <row r="486" spans="1:7">
      <c r="A486" s="169"/>
      <c r="B486" s="160"/>
      <c r="C486" s="158" t="s">
        <v>641</v>
      </c>
      <c r="D486" s="181"/>
      <c r="E486" s="127">
        <f>G485</f>
        <v>9558.6699999999983</v>
      </c>
      <c r="F486" s="88">
        <f>Lead!Q27</f>
        <v>0.13614999999999999</v>
      </c>
      <c r="G486" s="107">
        <f>ROUND(F486*E486,2)</f>
        <v>1301.4100000000001</v>
      </c>
    </row>
    <row r="487" spans="1:7">
      <c r="A487" s="169"/>
      <c r="B487" s="160"/>
      <c r="C487" s="158" t="s">
        <v>1</v>
      </c>
      <c r="D487" s="181"/>
      <c r="E487" s="127"/>
      <c r="F487" s="88" t="s">
        <v>154</v>
      </c>
      <c r="G487" s="101">
        <f>SUM(G485:G486)</f>
        <v>10860.079999999998</v>
      </c>
    </row>
    <row r="488" spans="1:7">
      <c r="A488" s="169"/>
      <c r="B488" s="160"/>
      <c r="C488" s="198" t="s">
        <v>213</v>
      </c>
      <c r="D488" s="181"/>
      <c r="E488" s="127">
        <f>G485</f>
        <v>9558.6699999999983</v>
      </c>
      <c r="F488" s="88">
        <f>G459</f>
        <v>747.36</v>
      </c>
      <c r="G488" s="107">
        <f>F488+E488</f>
        <v>10306.029999999999</v>
      </c>
    </row>
    <row r="489" spans="1:7">
      <c r="A489" s="169"/>
      <c r="B489" s="160"/>
      <c r="C489" s="158" t="s">
        <v>641</v>
      </c>
      <c r="D489" s="181"/>
      <c r="E489" s="127">
        <f>G488</f>
        <v>10306.029999999999</v>
      </c>
      <c r="F489" s="88">
        <f>Lead!Q27</f>
        <v>0.13614999999999999</v>
      </c>
      <c r="G489" s="107">
        <f>ROUND(F489*E489,2)</f>
        <v>1403.17</v>
      </c>
    </row>
    <row r="490" spans="1:7">
      <c r="A490" s="169"/>
      <c r="B490" s="160"/>
      <c r="C490" s="158" t="s">
        <v>1</v>
      </c>
      <c r="D490" s="181"/>
      <c r="E490" s="127"/>
      <c r="F490" s="88" t="s">
        <v>154</v>
      </c>
      <c r="G490" s="101">
        <f>SUM(G488:G489)</f>
        <v>11709.199999999999</v>
      </c>
    </row>
    <row r="491" spans="1:7">
      <c r="A491" s="169"/>
      <c r="B491" s="160"/>
      <c r="C491" s="198" t="s">
        <v>64</v>
      </c>
      <c r="D491" s="181"/>
      <c r="E491" s="127">
        <f>G488</f>
        <v>10306.029999999999</v>
      </c>
      <c r="F491" s="88">
        <f>G459</f>
        <v>747.36</v>
      </c>
      <c r="G491" s="107">
        <f>F491+E491</f>
        <v>11053.39</v>
      </c>
    </row>
    <row r="492" spans="1:7">
      <c r="A492" s="169"/>
      <c r="B492" s="160"/>
      <c r="C492" s="158" t="s">
        <v>641</v>
      </c>
      <c r="D492" s="181"/>
      <c r="E492" s="127">
        <f>G491</f>
        <v>11053.39</v>
      </c>
      <c r="F492" s="271">
        <f>Lead!Q27</f>
        <v>0.13614999999999999</v>
      </c>
      <c r="G492" s="107">
        <f>ROUND(F492*E492,2)</f>
        <v>1504.92</v>
      </c>
    </row>
    <row r="493" spans="1:7">
      <c r="A493" s="169"/>
      <c r="B493" s="160"/>
      <c r="C493" s="158" t="s">
        <v>1</v>
      </c>
      <c r="D493" s="181"/>
      <c r="E493" s="127"/>
      <c r="F493" s="88" t="s">
        <v>154</v>
      </c>
      <c r="G493" s="101">
        <f>SUM(G491:G492)</f>
        <v>12558.31</v>
      </c>
    </row>
    <row r="494" spans="1:7" ht="178.5">
      <c r="A494" s="186"/>
      <c r="B494" s="164">
        <v>29</v>
      </c>
      <c r="C494" s="187" t="s">
        <v>149</v>
      </c>
      <c r="D494" s="172"/>
      <c r="E494" s="132"/>
      <c r="F494" s="113"/>
      <c r="G494" s="114"/>
    </row>
    <row r="495" spans="1:7">
      <c r="A495" s="186"/>
      <c r="B495" s="188"/>
      <c r="C495" s="187" t="s">
        <v>171</v>
      </c>
      <c r="D495" s="172" t="s">
        <v>109</v>
      </c>
      <c r="E495" s="136">
        <v>0.21299999999999999</v>
      </c>
      <c r="F495" s="115">
        <f>F437</f>
        <v>5383.2900000000009</v>
      </c>
      <c r="G495" s="116">
        <f>+ROUND(E495*F495,2)</f>
        <v>1146.6400000000001</v>
      </c>
    </row>
    <row r="496" spans="1:7" ht="38.25">
      <c r="A496" s="186"/>
      <c r="B496" s="188"/>
      <c r="C496" s="187" t="s">
        <v>334</v>
      </c>
      <c r="D496" s="172" t="s">
        <v>109</v>
      </c>
      <c r="E496" s="136">
        <v>0.217</v>
      </c>
      <c r="F496" s="113">
        <f>F438</f>
        <v>9540.84</v>
      </c>
      <c r="G496" s="116">
        <f>+ROUND(E496*F496,2)</f>
        <v>2070.36</v>
      </c>
    </row>
    <row r="497" spans="1:8" ht="38.25">
      <c r="A497" s="186"/>
      <c r="B497" s="188"/>
      <c r="C497" s="187" t="s">
        <v>324</v>
      </c>
      <c r="D497" s="172" t="s">
        <v>109</v>
      </c>
      <c r="E497" s="136">
        <v>0.48299999999999998</v>
      </c>
      <c r="F497" s="113">
        <f>F496</f>
        <v>9540.84</v>
      </c>
      <c r="G497" s="116">
        <f>+ROUND(E497*F497,2)</f>
        <v>4608.2299999999996</v>
      </c>
    </row>
    <row r="498" spans="1:8" ht="51">
      <c r="A498" s="186"/>
      <c r="B498" s="188"/>
      <c r="C498" s="187" t="s">
        <v>348</v>
      </c>
      <c r="D498" s="172" t="s">
        <v>326</v>
      </c>
      <c r="E498" s="136">
        <f>1.28+2.6-0.123</f>
        <v>3.7569999999999997</v>
      </c>
      <c r="F498" s="113">
        <f>F453</f>
        <v>170.45499999999998</v>
      </c>
      <c r="G498" s="116">
        <f>+ROUND(E498*F498/10,2)</f>
        <v>64.040000000000006</v>
      </c>
    </row>
    <row r="499" spans="1:8" ht="63.75">
      <c r="A499" s="186"/>
      <c r="B499" s="188"/>
      <c r="C499" s="187" t="s">
        <v>349</v>
      </c>
      <c r="D499" s="172" t="s">
        <v>326</v>
      </c>
      <c r="E499" s="132">
        <f>0.848+1.75-0.09</f>
        <v>2.508</v>
      </c>
      <c r="F499" s="113">
        <f>F454</f>
        <v>2594.8599999999997</v>
      </c>
      <c r="G499" s="116">
        <f>+ROUND(E499*F499/10,2)</f>
        <v>650.79</v>
      </c>
    </row>
    <row r="500" spans="1:8" ht="51">
      <c r="A500" s="186"/>
      <c r="B500" s="188"/>
      <c r="C500" s="189" t="s">
        <v>335</v>
      </c>
      <c r="D500" s="172" t="s">
        <v>109</v>
      </c>
      <c r="E500" s="136">
        <f>0.13+0.038-0.056</f>
        <v>0.11200000000000002</v>
      </c>
      <c r="F500" s="113" t="e">
        <f>G208</f>
        <v>#REF!</v>
      </c>
      <c r="G500" s="116" t="e">
        <f>+ROUND(E500*F500,2)</f>
        <v>#REF!</v>
      </c>
    </row>
    <row r="501" spans="1:8">
      <c r="A501" s="186" t="s">
        <v>128</v>
      </c>
      <c r="B501" s="188"/>
      <c r="C501" s="203" t="s">
        <v>225</v>
      </c>
      <c r="D501" s="172" t="s">
        <v>226</v>
      </c>
      <c r="E501" s="132">
        <v>1</v>
      </c>
      <c r="F501" s="113">
        <v>66</v>
      </c>
      <c r="G501" s="116">
        <f>+ROUND(E501*F501,2)</f>
        <v>66</v>
      </c>
      <c r="H501" s="141">
        <v>65</v>
      </c>
    </row>
    <row r="502" spans="1:8">
      <c r="A502" s="186" t="s">
        <v>129</v>
      </c>
      <c r="B502" s="188"/>
      <c r="C502" s="190" t="s">
        <v>227</v>
      </c>
      <c r="D502" s="172" t="s">
        <v>226</v>
      </c>
      <c r="E502" s="132">
        <v>1</v>
      </c>
      <c r="F502" s="498">
        <f>F444</f>
        <v>140</v>
      </c>
      <c r="G502" s="116">
        <f>+ROUND(E502*F502,2)</f>
        <v>140</v>
      </c>
    </row>
    <row r="503" spans="1:8">
      <c r="A503" s="180"/>
      <c r="B503" s="191"/>
      <c r="C503" s="192" t="s">
        <v>106</v>
      </c>
      <c r="D503" s="172" t="s">
        <v>226</v>
      </c>
      <c r="E503" s="132"/>
      <c r="F503" s="113" t="s">
        <v>154</v>
      </c>
      <c r="G503" s="139" t="e">
        <f>SUM(G495:G502)</f>
        <v>#REF!</v>
      </c>
    </row>
    <row r="504" spans="1:8">
      <c r="A504" s="180"/>
      <c r="B504" s="191"/>
      <c r="C504" s="192"/>
      <c r="D504" s="191"/>
      <c r="E504" s="132"/>
      <c r="F504" s="113"/>
      <c r="G504" s="114"/>
    </row>
    <row r="505" spans="1:8" s="157" customFormat="1">
      <c r="A505" s="155"/>
      <c r="B505" s="145"/>
      <c r="C505" s="146"/>
      <c r="D505" s="156"/>
      <c r="E505" s="123"/>
      <c r="F505" s="88"/>
      <c r="G505" s="90"/>
    </row>
    <row r="506" spans="1:8" s="197" customFormat="1">
      <c r="A506" s="193"/>
      <c r="B506" s="194"/>
      <c r="C506" s="195" t="s">
        <v>319</v>
      </c>
      <c r="D506" s="196"/>
      <c r="E506" s="133"/>
      <c r="F506" s="118"/>
      <c r="G506" s="119"/>
    </row>
    <row r="507" spans="1:8" s="197" customFormat="1">
      <c r="A507" s="193"/>
      <c r="B507" s="194"/>
      <c r="C507" s="195" t="s">
        <v>320</v>
      </c>
      <c r="D507" s="196" t="s">
        <v>109</v>
      </c>
      <c r="E507" s="134">
        <f>(E495+E500)*0.9</f>
        <v>0.29250000000000004</v>
      </c>
      <c r="F507" s="118">
        <f>F447</f>
        <v>75</v>
      </c>
      <c r="G507" s="90">
        <f>ROUND(F507*E507,2)</f>
        <v>21.94</v>
      </c>
    </row>
    <row r="508" spans="1:8" s="197" customFormat="1">
      <c r="A508" s="193"/>
      <c r="B508" s="194"/>
      <c r="C508" s="195" t="s">
        <v>321</v>
      </c>
      <c r="D508" s="196" t="s">
        <v>109</v>
      </c>
      <c r="E508" s="134">
        <f>(E495+E500)*0.45+(E496+E497)*0.2+E498*0.015+E499*0.021</f>
        <v>0.39527299999999999</v>
      </c>
      <c r="F508" s="118">
        <f>Lead!T11</f>
        <v>90</v>
      </c>
      <c r="G508" s="90">
        <f>ROUND(F508*E508,2)</f>
        <v>35.57</v>
      </c>
    </row>
    <row r="509" spans="1:8" s="197" customFormat="1">
      <c r="A509" s="193"/>
      <c r="B509" s="194"/>
      <c r="C509" s="195" t="s">
        <v>322</v>
      </c>
      <c r="D509" s="196"/>
      <c r="E509" s="133">
        <f>SUM(E496+E497)*512</f>
        <v>358.4</v>
      </c>
      <c r="F509" s="118">
        <f>F457</f>
        <v>0</v>
      </c>
      <c r="G509" s="90">
        <f>ROUND(F509*E509/1000,2)</f>
        <v>0</v>
      </c>
    </row>
    <row r="510" spans="1:8" s="197" customFormat="1">
      <c r="A510" s="193"/>
      <c r="B510" s="194"/>
      <c r="C510" s="146" t="s">
        <v>273</v>
      </c>
      <c r="D510" s="196"/>
      <c r="E510" s="133"/>
      <c r="F510" s="118" t="s">
        <v>154</v>
      </c>
      <c r="G510" s="96" t="e">
        <f>SUM(G503:G509)</f>
        <v>#REF!</v>
      </c>
    </row>
    <row r="511" spans="1:8" ht="177.75" customHeight="1">
      <c r="A511" s="186"/>
      <c r="B511" s="177"/>
      <c r="C511" s="187" t="s">
        <v>350</v>
      </c>
      <c r="D511" s="172"/>
      <c r="E511" s="132"/>
      <c r="F511" s="113"/>
      <c r="G511" s="116"/>
    </row>
    <row r="512" spans="1:8" ht="25.5">
      <c r="A512" s="186"/>
      <c r="B512" s="177"/>
      <c r="C512" s="187" t="s">
        <v>172</v>
      </c>
      <c r="D512" s="172" t="s">
        <v>109</v>
      </c>
      <c r="E512" s="136">
        <f>0.082</f>
        <v>8.2000000000000003E-2</v>
      </c>
      <c r="F512" s="113">
        <f>F497</f>
        <v>9540.84</v>
      </c>
      <c r="G512" s="116">
        <f>+ROUND(E512*F512,2)</f>
        <v>782.35</v>
      </c>
    </row>
    <row r="513" spans="1:7" ht="25.5">
      <c r="A513" s="186"/>
      <c r="B513" s="177"/>
      <c r="C513" s="187" t="s">
        <v>147</v>
      </c>
      <c r="D513" s="172" t="s">
        <v>326</v>
      </c>
      <c r="E513" s="136">
        <v>0.42699999999999999</v>
      </c>
      <c r="F513" s="113">
        <f>F498</f>
        <v>170.45499999999998</v>
      </c>
      <c r="G513" s="116">
        <f>+ROUND(E513*F513/10,2)</f>
        <v>7.28</v>
      </c>
    </row>
    <row r="514" spans="1:7" ht="25.5">
      <c r="A514" s="186"/>
      <c r="B514" s="177"/>
      <c r="C514" s="187" t="s">
        <v>148</v>
      </c>
      <c r="D514" s="172" t="s">
        <v>326</v>
      </c>
      <c r="E514" s="136">
        <v>0.28299999999999997</v>
      </c>
      <c r="F514" s="113">
        <f>F499</f>
        <v>2594.8599999999997</v>
      </c>
      <c r="G514" s="116">
        <f>+ROUND(E514*F514/10,2)</f>
        <v>73.430000000000007</v>
      </c>
    </row>
    <row r="515" spans="1:7" s="197" customFormat="1">
      <c r="A515" s="193"/>
      <c r="B515" s="194"/>
      <c r="C515" s="195" t="s">
        <v>319</v>
      </c>
      <c r="D515" s="196"/>
      <c r="E515" s="133"/>
      <c r="F515" s="118"/>
      <c r="G515" s="119"/>
    </row>
    <row r="516" spans="1:7" s="197" customFormat="1">
      <c r="A516" s="193"/>
      <c r="B516" s="194"/>
      <c r="C516" s="195" t="s">
        <v>321</v>
      </c>
      <c r="D516" s="196" t="s">
        <v>109</v>
      </c>
      <c r="E516" s="134">
        <f>E513*0.015+E514*0.021+E512*0.2</f>
        <v>2.8747999999999999E-2</v>
      </c>
      <c r="F516" s="118">
        <f>Lead!T11</f>
        <v>90</v>
      </c>
      <c r="G516" s="90">
        <f>ROUND(F516*E516,2)</f>
        <v>2.59</v>
      </c>
    </row>
    <row r="517" spans="1:7" s="197" customFormat="1">
      <c r="A517" s="193"/>
      <c r="B517" s="194"/>
      <c r="C517" s="195" t="s">
        <v>322</v>
      </c>
      <c r="D517" s="196"/>
      <c r="E517" s="269">
        <f>E512*0.512</f>
        <v>4.1984E-2</v>
      </c>
      <c r="F517" s="118">
        <f>F509</f>
        <v>0</v>
      </c>
      <c r="G517" s="90">
        <f>ROUND(F517*E517,2)</f>
        <v>0</v>
      </c>
    </row>
    <row r="518" spans="1:7">
      <c r="A518" s="186"/>
      <c r="B518" s="177"/>
      <c r="C518" s="192" t="s">
        <v>228</v>
      </c>
      <c r="D518" s="172"/>
      <c r="E518" s="132"/>
      <c r="F518" s="113"/>
      <c r="G518" s="114">
        <f>SUM(G512:G517)</f>
        <v>865.65</v>
      </c>
    </row>
    <row r="519" spans="1:7">
      <c r="A519" s="186"/>
      <c r="B519" s="177"/>
      <c r="C519" s="192" t="s">
        <v>298</v>
      </c>
      <c r="D519" s="172"/>
      <c r="E519" s="132"/>
      <c r="F519" s="113"/>
      <c r="G519" s="116"/>
    </row>
    <row r="520" spans="1:7">
      <c r="A520" s="171"/>
      <c r="B520" s="181"/>
      <c r="C520" s="198" t="s">
        <v>304</v>
      </c>
      <c r="D520" s="181"/>
      <c r="E520" s="127" t="e">
        <f>G524</f>
        <v>#REF!</v>
      </c>
      <c r="F520" s="88">
        <f>-G518</f>
        <v>-865.65</v>
      </c>
      <c r="G520" s="100" t="e">
        <f>SUM(E520:F520)</f>
        <v>#REF!</v>
      </c>
    </row>
    <row r="521" spans="1:7">
      <c r="A521" s="171"/>
      <c r="B521" s="181"/>
      <c r="C521" s="158" t="s">
        <v>641</v>
      </c>
      <c r="D521" s="181"/>
      <c r="E521" s="127" t="e">
        <f>G520</f>
        <v>#REF!</v>
      </c>
      <c r="F521" s="88">
        <f>Lead!Q27</f>
        <v>0.13614999999999999</v>
      </c>
      <c r="G521" s="100" t="e">
        <f>ROUND(F521*E521,2)</f>
        <v>#REF!</v>
      </c>
    </row>
    <row r="522" spans="1:7">
      <c r="A522" s="169"/>
      <c r="B522" s="160"/>
      <c r="C522" s="159" t="s">
        <v>1</v>
      </c>
      <c r="D522" s="181"/>
      <c r="E522" s="127"/>
      <c r="F522" s="88" t="s">
        <v>154</v>
      </c>
      <c r="G522" s="101" t="e">
        <f>SUM(G520:G521)</f>
        <v>#REF!</v>
      </c>
    </row>
    <row r="523" spans="1:7">
      <c r="A523" s="169"/>
      <c r="B523" s="160"/>
      <c r="C523" s="159"/>
      <c r="D523" s="181"/>
      <c r="E523" s="127"/>
      <c r="F523" s="88"/>
      <c r="G523" s="107"/>
    </row>
    <row r="524" spans="1:7">
      <c r="A524" s="169"/>
      <c r="B524" s="160"/>
      <c r="C524" s="198" t="s">
        <v>303</v>
      </c>
      <c r="D524" s="181"/>
      <c r="E524" s="127" t="e">
        <f>G528</f>
        <v>#REF!</v>
      </c>
      <c r="F524" s="88">
        <f>-G518</f>
        <v>-865.65</v>
      </c>
      <c r="G524" s="107" t="e">
        <f>SUM(E524:F524)</f>
        <v>#REF!</v>
      </c>
    </row>
    <row r="525" spans="1:7">
      <c r="A525" s="169"/>
      <c r="B525" s="160"/>
      <c r="C525" s="158" t="s">
        <v>641</v>
      </c>
      <c r="D525" s="181"/>
      <c r="E525" s="127" t="e">
        <f>G524</f>
        <v>#REF!</v>
      </c>
      <c r="F525" s="88">
        <f>Lead!Q27</f>
        <v>0.13614999999999999</v>
      </c>
      <c r="G525" s="107" t="e">
        <f>ROUND(F525*E525,2)</f>
        <v>#REF!</v>
      </c>
    </row>
    <row r="526" spans="1:7">
      <c r="A526" s="169"/>
      <c r="B526" s="160"/>
      <c r="C526" s="158" t="s">
        <v>1</v>
      </c>
      <c r="D526" s="181"/>
      <c r="E526" s="127"/>
      <c r="F526" s="88" t="s">
        <v>154</v>
      </c>
      <c r="G526" s="101" t="e">
        <f>SUM(G524:G525)</f>
        <v>#REF!</v>
      </c>
    </row>
    <row r="527" spans="1:7">
      <c r="A527" s="169"/>
      <c r="B527" s="160"/>
      <c r="C527" s="159"/>
      <c r="D527" s="181"/>
      <c r="E527" s="127"/>
      <c r="F527" s="88"/>
      <c r="G527" s="107"/>
    </row>
    <row r="528" spans="1:7">
      <c r="A528" s="169"/>
      <c r="B528" s="160"/>
      <c r="C528" s="198" t="s">
        <v>302</v>
      </c>
      <c r="D528" s="181"/>
      <c r="E528" s="127" t="e">
        <f>G531</f>
        <v>#REF!</v>
      </c>
      <c r="F528" s="88">
        <f>-G518</f>
        <v>-865.65</v>
      </c>
      <c r="G528" s="107" t="e">
        <f>SUM(E528:F528)</f>
        <v>#REF!</v>
      </c>
    </row>
    <row r="529" spans="1:7">
      <c r="A529" s="169"/>
      <c r="B529" s="160"/>
      <c r="C529" s="158" t="s">
        <v>641</v>
      </c>
      <c r="D529" s="181"/>
      <c r="E529" s="127" t="e">
        <f>G528</f>
        <v>#REF!</v>
      </c>
      <c r="F529" s="88">
        <f>Lead!Q27</f>
        <v>0.13614999999999999</v>
      </c>
      <c r="G529" s="107" t="e">
        <f>ROUND(F529*E529,2)</f>
        <v>#REF!</v>
      </c>
    </row>
    <row r="530" spans="1:7">
      <c r="A530" s="169"/>
      <c r="B530" s="160"/>
      <c r="C530" s="158" t="s">
        <v>1</v>
      </c>
      <c r="D530" s="181"/>
      <c r="E530" s="127"/>
      <c r="F530" s="88" t="s">
        <v>154</v>
      </c>
      <c r="G530" s="101" t="e">
        <f>SUM(G528:G529)</f>
        <v>#REF!</v>
      </c>
    </row>
    <row r="531" spans="1:7">
      <c r="A531" s="169"/>
      <c r="B531" s="160"/>
      <c r="C531" s="198" t="s">
        <v>301</v>
      </c>
      <c r="D531" s="181"/>
      <c r="E531" s="127" t="e">
        <f>G534</f>
        <v>#REF!</v>
      </c>
      <c r="F531" s="88">
        <f>-G518</f>
        <v>-865.65</v>
      </c>
      <c r="G531" s="107" t="e">
        <f>SUM(E531:F531)</f>
        <v>#REF!</v>
      </c>
    </row>
    <row r="532" spans="1:7">
      <c r="A532" s="169"/>
      <c r="B532" s="160"/>
      <c r="C532" s="158" t="s">
        <v>641</v>
      </c>
      <c r="D532" s="181"/>
      <c r="E532" s="127" t="e">
        <f>G531</f>
        <v>#REF!</v>
      </c>
      <c r="F532" s="88">
        <f>Lead!Q27</f>
        <v>0.13614999999999999</v>
      </c>
      <c r="G532" s="107" t="e">
        <f>ROUND(F532*E532,2)</f>
        <v>#REF!</v>
      </c>
    </row>
    <row r="533" spans="1:7">
      <c r="A533" s="169"/>
      <c r="B533" s="160"/>
      <c r="C533" s="158" t="s">
        <v>1</v>
      </c>
      <c r="D533" s="181"/>
      <c r="E533" s="127"/>
      <c r="F533" s="88" t="s">
        <v>154</v>
      </c>
      <c r="G533" s="101" t="e">
        <f>SUM(G531:G532)</f>
        <v>#REF!</v>
      </c>
    </row>
    <row r="534" spans="1:7">
      <c r="A534" s="169"/>
      <c r="B534" s="160"/>
      <c r="C534" s="198" t="s">
        <v>300</v>
      </c>
      <c r="D534" s="181"/>
      <c r="E534" s="127" t="e">
        <f>G537</f>
        <v>#REF!</v>
      </c>
      <c r="F534" s="88">
        <f>-G518</f>
        <v>-865.65</v>
      </c>
      <c r="G534" s="107" t="e">
        <f>SUM(E534:F534)</f>
        <v>#REF!</v>
      </c>
    </row>
    <row r="535" spans="1:7">
      <c r="A535" s="169"/>
      <c r="B535" s="160"/>
      <c r="C535" s="158" t="s">
        <v>641</v>
      </c>
      <c r="D535" s="181"/>
      <c r="E535" s="127" t="e">
        <f>G534</f>
        <v>#REF!</v>
      </c>
      <c r="F535" s="88">
        <f>Lead!Q27</f>
        <v>0.13614999999999999</v>
      </c>
      <c r="G535" s="107" t="e">
        <f>ROUND(F535*E535,2)</f>
        <v>#REF!</v>
      </c>
    </row>
    <row r="536" spans="1:7">
      <c r="A536" s="169"/>
      <c r="B536" s="160"/>
      <c r="C536" s="158" t="s">
        <v>1</v>
      </c>
      <c r="D536" s="181"/>
      <c r="E536" s="127"/>
      <c r="F536" s="88" t="s">
        <v>154</v>
      </c>
      <c r="G536" s="101" t="e">
        <f>SUM(G534:G535)</f>
        <v>#REF!</v>
      </c>
    </row>
    <row r="537" spans="1:7" s="165" customFormat="1">
      <c r="A537" s="179"/>
      <c r="B537" s="164"/>
      <c r="C537" s="198" t="s">
        <v>299</v>
      </c>
      <c r="D537" s="185"/>
      <c r="E537" s="127" t="e">
        <f>G510</f>
        <v>#REF!</v>
      </c>
      <c r="F537" s="98">
        <f>-G518</f>
        <v>-865.65</v>
      </c>
      <c r="G537" s="103" t="e">
        <f>F537+E537</f>
        <v>#REF!</v>
      </c>
    </row>
    <row r="538" spans="1:7">
      <c r="A538" s="169"/>
      <c r="B538" s="160"/>
      <c r="C538" s="158" t="s">
        <v>641</v>
      </c>
      <c r="D538" s="181"/>
      <c r="E538" s="127" t="e">
        <f>G537</f>
        <v>#REF!</v>
      </c>
      <c r="F538" s="88">
        <f>Lead!Q27</f>
        <v>0.13614999999999999</v>
      </c>
      <c r="G538" s="107" t="e">
        <f>ROUND(F538*E538,2)</f>
        <v>#REF!</v>
      </c>
    </row>
    <row r="539" spans="1:7">
      <c r="A539" s="169"/>
      <c r="B539" s="160"/>
      <c r="C539" s="158" t="s">
        <v>1</v>
      </c>
      <c r="D539" s="181"/>
      <c r="E539" s="127"/>
      <c r="F539" s="88" t="s">
        <v>154</v>
      </c>
      <c r="G539" s="101" t="e">
        <f>SUM(G537:G538)</f>
        <v>#REF!</v>
      </c>
    </row>
    <row r="540" spans="1:7" s="202" customFormat="1">
      <c r="A540" s="199"/>
      <c r="B540" s="200"/>
      <c r="C540" s="198" t="s">
        <v>59</v>
      </c>
      <c r="D540" s="201"/>
      <c r="E540" s="135" t="e">
        <f>G510</f>
        <v>#REF!</v>
      </c>
      <c r="F540" s="121"/>
      <c r="G540" s="120" t="e">
        <f>F540+E540</f>
        <v>#REF!</v>
      </c>
    </row>
    <row r="541" spans="1:7">
      <c r="A541" s="169"/>
      <c r="B541" s="160"/>
      <c r="C541" s="158" t="s">
        <v>641</v>
      </c>
      <c r="D541" s="181"/>
      <c r="E541" s="127" t="e">
        <f>G540</f>
        <v>#REF!</v>
      </c>
      <c r="F541" s="88">
        <f>Lead!Q27</f>
        <v>0.13614999999999999</v>
      </c>
      <c r="G541" s="107" t="e">
        <f>ROUND(F541*E541,2)</f>
        <v>#REF!</v>
      </c>
    </row>
    <row r="542" spans="1:7">
      <c r="A542" s="169"/>
      <c r="B542" s="160"/>
      <c r="C542" s="158" t="s">
        <v>1</v>
      </c>
      <c r="D542" s="181"/>
      <c r="E542" s="127"/>
      <c r="F542" s="88" t="s">
        <v>154</v>
      </c>
      <c r="G542" s="101" t="e">
        <f>SUM(G540:G541)</f>
        <v>#REF!</v>
      </c>
    </row>
    <row r="543" spans="1:7">
      <c r="A543" s="169"/>
      <c r="B543" s="160"/>
      <c r="C543" s="198" t="s">
        <v>60</v>
      </c>
      <c r="D543" s="181"/>
      <c r="E543" s="127" t="e">
        <f>G540</f>
        <v>#REF!</v>
      </c>
      <c r="F543" s="88">
        <f>G518</f>
        <v>865.65</v>
      </c>
      <c r="G543" s="107" t="e">
        <f>F543+E543</f>
        <v>#REF!</v>
      </c>
    </row>
    <row r="544" spans="1:7">
      <c r="A544" s="169"/>
      <c r="B544" s="160"/>
      <c r="C544" s="158" t="s">
        <v>641</v>
      </c>
      <c r="D544" s="181"/>
      <c r="E544" s="127" t="e">
        <f>G543</f>
        <v>#REF!</v>
      </c>
      <c r="F544" s="88">
        <f>Lead!Q27</f>
        <v>0.13614999999999999</v>
      </c>
      <c r="G544" s="107" t="e">
        <f>ROUND(F544*E544,2)</f>
        <v>#REF!</v>
      </c>
    </row>
    <row r="545" spans="1:7">
      <c r="A545" s="169"/>
      <c r="B545" s="160"/>
      <c r="C545" s="158" t="s">
        <v>1</v>
      </c>
      <c r="D545" s="181"/>
      <c r="E545" s="127"/>
      <c r="F545" s="88" t="s">
        <v>154</v>
      </c>
      <c r="G545" s="101" t="e">
        <f>SUM(G543:G544)</f>
        <v>#REF!</v>
      </c>
    </row>
    <row r="546" spans="1:7">
      <c r="A546" s="169"/>
      <c r="B546" s="160"/>
      <c r="C546" s="198" t="s">
        <v>61</v>
      </c>
      <c r="D546" s="181"/>
      <c r="E546" s="127" t="e">
        <f>G543</f>
        <v>#REF!</v>
      </c>
      <c r="F546" s="88">
        <f>G518</f>
        <v>865.65</v>
      </c>
      <c r="G546" s="107" t="e">
        <f>F546+E546</f>
        <v>#REF!</v>
      </c>
    </row>
    <row r="547" spans="1:7">
      <c r="A547" s="169"/>
      <c r="B547" s="160"/>
      <c r="C547" s="158" t="s">
        <v>641</v>
      </c>
      <c r="D547" s="181"/>
      <c r="E547" s="127" t="e">
        <f>G546</f>
        <v>#REF!</v>
      </c>
      <c r="F547" s="88">
        <f>Lead!Q27</f>
        <v>0.13614999999999999</v>
      </c>
      <c r="G547" s="107" t="e">
        <f>ROUND(F547*E547,2)</f>
        <v>#REF!</v>
      </c>
    </row>
    <row r="548" spans="1:7">
      <c r="A548" s="169"/>
      <c r="B548" s="160"/>
      <c r="C548" s="158" t="s">
        <v>1</v>
      </c>
      <c r="D548" s="181"/>
      <c r="E548" s="127"/>
      <c r="F548" s="88" t="s">
        <v>154</v>
      </c>
      <c r="G548" s="101" t="e">
        <f>SUM(G546:G547)</f>
        <v>#REF!</v>
      </c>
    </row>
    <row r="549" spans="1:7">
      <c r="A549" s="169"/>
      <c r="B549" s="160"/>
      <c r="C549" s="198" t="s">
        <v>62</v>
      </c>
      <c r="D549" s="181"/>
      <c r="E549" s="127" t="e">
        <f>G546</f>
        <v>#REF!</v>
      </c>
      <c r="F549" s="88">
        <f>G518</f>
        <v>865.65</v>
      </c>
      <c r="G549" s="107" t="e">
        <f>F549+E549</f>
        <v>#REF!</v>
      </c>
    </row>
    <row r="550" spans="1:7">
      <c r="A550" s="169"/>
      <c r="B550" s="160"/>
      <c r="C550" s="158" t="s">
        <v>641</v>
      </c>
      <c r="D550" s="181"/>
      <c r="E550" s="127" t="e">
        <f>G549</f>
        <v>#REF!</v>
      </c>
      <c r="F550" s="88">
        <f>Lead!Q27</f>
        <v>0.13614999999999999</v>
      </c>
      <c r="G550" s="107" t="e">
        <f>ROUND(F550*E550,2)</f>
        <v>#REF!</v>
      </c>
    </row>
    <row r="551" spans="1:7">
      <c r="A551" s="169"/>
      <c r="B551" s="160"/>
      <c r="C551" s="158" t="s">
        <v>1</v>
      </c>
      <c r="D551" s="181"/>
      <c r="E551" s="127"/>
      <c r="F551" s="88" t="s">
        <v>154</v>
      </c>
      <c r="G551" s="101" t="e">
        <f>SUM(G549:G550)</f>
        <v>#REF!</v>
      </c>
    </row>
    <row r="552" spans="1:7">
      <c r="A552" s="169"/>
      <c r="B552" s="160"/>
      <c r="C552" s="198" t="s">
        <v>63</v>
      </c>
      <c r="D552" s="181"/>
      <c r="E552" s="127" t="e">
        <f>G549</f>
        <v>#REF!</v>
      </c>
      <c r="F552" s="88">
        <f>G518</f>
        <v>865.65</v>
      </c>
      <c r="G552" s="107" t="e">
        <f>F552+E552</f>
        <v>#REF!</v>
      </c>
    </row>
    <row r="553" spans="1:7">
      <c r="A553" s="169"/>
      <c r="B553" s="160"/>
      <c r="C553" s="158" t="s">
        <v>641</v>
      </c>
      <c r="D553" s="181"/>
      <c r="E553" s="127" t="e">
        <f>G552</f>
        <v>#REF!</v>
      </c>
      <c r="F553" s="88">
        <f>Lead!Q27</f>
        <v>0.13614999999999999</v>
      </c>
      <c r="G553" s="107" t="e">
        <f>ROUND(F553*E553,2)</f>
        <v>#REF!</v>
      </c>
    </row>
    <row r="554" spans="1:7">
      <c r="A554" s="169"/>
      <c r="B554" s="160"/>
      <c r="C554" s="158" t="s">
        <v>1</v>
      </c>
      <c r="D554" s="181"/>
      <c r="E554" s="127"/>
      <c r="F554" s="88" t="s">
        <v>154</v>
      </c>
      <c r="G554" s="101" t="e">
        <f>SUM(G552:G553)</f>
        <v>#REF!</v>
      </c>
    </row>
    <row r="555" spans="1:7">
      <c r="A555" s="169"/>
      <c r="B555" s="160"/>
      <c r="C555" s="198" t="s">
        <v>64</v>
      </c>
      <c r="D555" s="181"/>
      <c r="E555" s="127" t="e">
        <f>G552</f>
        <v>#REF!</v>
      </c>
      <c r="F555" s="88">
        <f>G518</f>
        <v>865.65</v>
      </c>
      <c r="G555" s="107" t="e">
        <f>F555+E555</f>
        <v>#REF!</v>
      </c>
    </row>
    <row r="556" spans="1:7">
      <c r="A556" s="169"/>
      <c r="B556" s="160"/>
      <c r="C556" s="158" t="s">
        <v>641</v>
      </c>
      <c r="D556" s="181"/>
      <c r="E556" s="127" t="e">
        <f>G555</f>
        <v>#REF!</v>
      </c>
      <c r="F556" s="88">
        <f>Lead!Q27</f>
        <v>0.13614999999999999</v>
      </c>
      <c r="G556" s="107" t="e">
        <f>ROUND(F556*E556,2)</f>
        <v>#REF!</v>
      </c>
    </row>
    <row r="557" spans="1:7">
      <c r="A557" s="169"/>
      <c r="B557" s="160"/>
      <c r="C557" s="158" t="s">
        <v>1</v>
      </c>
      <c r="D557" s="181"/>
      <c r="E557" s="127"/>
      <c r="F557" s="88" t="s">
        <v>154</v>
      </c>
      <c r="G557" s="101" t="e">
        <f>SUM(G555:G556)</f>
        <v>#REF!</v>
      </c>
    </row>
    <row r="558" spans="1:7">
      <c r="A558" s="169"/>
      <c r="B558" s="160"/>
      <c r="C558" s="198" t="s">
        <v>65</v>
      </c>
      <c r="D558" s="181"/>
      <c r="E558" s="127" t="e">
        <f>G555</f>
        <v>#REF!</v>
      </c>
      <c r="F558" s="88">
        <f>G518</f>
        <v>865.65</v>
      </c>
      <c r="G558" s="107" t="e">
        <f>F558+E558</f>
        <v>#REF!</v>
      </c>
    </row>
    <row r="559" spans="1:7">
      <c r="A559" s="169"/>
      <c r="B559" s="160"/>
      <c r="C559" s="158" t="s">
        <v>641</v>
      </c>
      <c r="D559" s="181"/>
      <c r="E559" s="127" t="e">
        <f>G558</f>
        <v>#REF!</v>
      </c>
      <c r="F559" s="88">
        <f>Lead!Q27</f>
        <v>0.13614999999999999</v>
      </c>
      <c r="G559" s="107" t="e">
        <f>ROUND(F559*E559,2)</f>
        <v>#REF!</v>
      </c>
    </row>
    <row r="560" spans="1:7">
      <c r="A560" s="169"/>
      <c r="B560" s="160"/>
      <c r="C560" s="158" t="s">
        <v>1</v>
      </c>
      <c r="D560" s="181"/>
      <c r="E560" s="127"/>
      <c r="F560" s="88" t="s">
        <v>154</v>
      </c>
      <c r="G560" s="101" t="e">
        <f>SUM(G558:G559)</f>
        <v>#REF!</v>
      </c>
    </row>
    <row r="561" spans="1:7">
      <c r="A561" s="169"/>
      <c r="B561" s="160"/>
      <c r="C561" s="198" t="s">
        <v>66</v>
      </c>
      <c r="D561" s="181"/>
      <c r="E561" s="127" t="e">
        <f>G558</f>
        <v>#REF!</v>
      </c>
      <c r="F561" s="88">
        <f>G518</f>
        <v>865.65</v>
      </c>
      <c r="G561" s="107" t="e">
        <f>F561+E561</f>
        <v>#REF!</v>
      </c>
    </row>
    <row r="562" spans="1:7">
      <c r="A562" s="169"/>
      <c r="B562" s="160"/>
      <c r="C562" s="158" t="s">
        <v>641</v>
      </c>
      <c r="D562" s="181"/>
      <c r="E562" s="127" t="e">
        <f>G561</f>
        <v>#REF!</v>
      </c>
      <c r="F562" s="88">
        <f>Lead!Q27</f>
        <v>0.13614999999999999</v>
      </c>
      <c r="G562" s="107" t="e">
        <f>ROUND(F562*E562,2)</f>
        <v>#REF!</v>
      </c>
    </row>
    <row r="563" spans="1:7">
      <c r="A563" s="169"/>
      <c r="B563" s="160"/>
      <c r="C563" s="158" t="s">
        <v>1</v>
      </c>
      <c r="D563" s="181"/>
      <c r="E563" s="127"/>
      <c r="F563" s="88" t="s">
        <v>154</v>
      </c>
      <c r="G563" s="101" t="e">
        <f>SUM(G561:G562)</f>
        <v>#REF!</v>
      </c>
    </row>
    <row r="564" spans="1:7">
      <c r="A564" s="169"/>
      <c r="B564" s="160"/>
      <c r="C564" s="198" t="s">
        <v>67</v>
      </c>
      <c r="D564" s="181"/>
      <c r="E564" s="127" t="e">
        <f>G561</f>
        <v>#REF!</v>
      </c>
      <c r="F564" s="88">
        <f>G518</f>
        <v>865.65</v>
      </c>
      <c r="G564" s="107" t="e">
        <f>F564+E564</f>
        <v>#REF!</v>
      </c>
    </row>
    <row r="565" spans="1:7">
      <c r="A565" s="169"/>
      <c r="B565" s="160"/>
      <c r="C565" s="158" t="s">
        <v>641</v>
      </c>
      <c r="D565" s="181"/>
      <c r="E565" s="127" t="e">
        <f>G564</f>
        <v>#REF!</v>
      </c>
      <c r="F565" s="88">
        <f>Lead!Q27</f>
        <v>0.13614999999999999</v>
      </c>
      <c r="G565" s="107" t="e">
        <f>ROUND(F565*E565,2)</f>
        <v>#REF!</v>
      </c>
    </row>
    <row r="566" spans="1:7">
      <c r="A566" s="169"/>
      <c r="B566" s="160"/>
      <c r="C566" s="158" t="s">
        <v>1</v>
      </c>
      <c r="D566" s="181"/>
      <c r="E566" s="127"/>
      <c r="F566" s="88" t="s">
        <v>154</v>
      </c>
      <c r="G566" s="101" t="e">
        <f>SUM(G564:G565)</f>
        <v>#REF!</v>
      </c>
    </row>
    <row r="567" spans="1:7" ht="202.5" customHeight="1">
      <c r="A567" s="186"/>
      <c r="B567" s="164">
        <v>30</v>
      </c>
      <c r="C567" s="204" t="s">
        <v>351</v>
      </c>
      <c r="D567" s="172"/>
      <c r="E567" s="132"/>
      <c r="F567" s="113"/>
      <c r="G567" s="114"/>
    </row>
    <row r="568" spans="1:7" ht="25.5">
      <c r="A568" s="186"/>
      <c r="B568" s="188"/>
      <c r="C568" s="205" t="s">
        <v>325</v>
      </c>
      <c r="D568" s="172" t="s">
        <v>109</v>
      </c>
      <c r="E568" s="136">
        <v>0.29799999999999999</v>
      </c>
      <c r="F568" s="115">
        <f>F437</f>
        <v>5383.2900000000009</v>
      </c>
      <c r="G568" s="116">
        <f>+ROUND(E568*F568,2)</f>
        <v>1604.22</v>
      </c>
    </row>
    <row r="569" spans="1:7" ht="63.75">
      <c r="A569" s="186"/>
      <c r="B569" s="188"/>
      <c r="C569" s="205" t="s">
        <v>352</v>
      </c>
      <c r="D569" s="172" t="s">
        <v>109</v>
      </c>
      <c r="E569" s="136">
        <v>0.27100000000000002</v>
      </c>
      <c r="F569" s="113">
        <f>F438</f>
        <v>9540.84</v>
      </c>
      <c r="G569" s="116">
        <f>+ROUND(E569*F569,2)</f>
        <v>2585.5700000000002</v>
      </c>
    </row>
    <row r="570" spans="1:7" ht="51">
      <c r="A570" s="186"/>
      <c r="B570" s="188"/>
      <c r="C570" s="205" t="s">
        <v>336</v>
      </c>
      <c r="D570" s="172" t="s">
        <v>109</v>
      </c>
      <c r="E570" s="132">
        <v>0.54</v>
      </c>
      <c r="F570" s="113">
        <f>F569</f>
        <v>9540.84</v>
      </c>
      <c r="G570" s="116">
        <f>+ROUND(E570*F570,2)</f>
        <v>5152.05</v>
      </c>
    </row>
    <row r="571" spans="1:7" ht="63.75">
      <c r="A571" s="186"/>
      <c r="B571" s="188"/>
      <c r="C571" s="205" t="s">
        <v>337</v>
      </c>
      <c r="D571" s="172" t="s">
        <v>326</v>
      </c>
      <c r="E571" s="132">
        <v>4.3099999999999996</v>
      </c>
      <c r="F571" s="113">
        <f>F440</f>
        <v>170.45499999999998</v>
      </c>
      <c r="G571" s="116">
        <f>+ROUND(E571*F571/10,2)</f>
        <v>73.47</v>
      </c>
    </row>
    <row r="572" spans="1:7" ht="63.75">
      <c r="A572" s="186"/>
      <c r="B572" s="188"/>
      <c r="C572" s="205" t="s">
        <v>338</v>
      </c>
      <c r="D572" s="172" t="s">
        <v>326</v>
      </c>
      <c r="E572" s="132">
        <v>3.1</v>
      </c>
      <c r="F572" s="113">
        <f>F441</f>
        <v>2594.8599999999997</v>
      </c>
      <c r="G572" s="116">
        <f>+ROUND(E572*F572/10,2)</f>
        <v>804.41</v>
      </c>
    </row>
    <row r="573" spans="1:7" ht="62.25" customHeight="1">
      <c r="A573" s="186"/>
      <c r="B573" s="188"/>
      <c r="C573" s="206" t="s">
        <v>353</v>
      </c>
      <c r="D573" s="172" t="s">
        <v>109</v>
      </c>
      <c r="E573" s="132">
        <v>0.21</v>
      </c>
      <c r="F573" s="113">
        <f>F442</f>
        <v>6018.18</v>
      </c>
      <c r="G573" s="116">
        <f>+ROUND(E573*F573,2)</f>
        <v>1263.82</v>
      </c>
    </row>
    <row r="574" spans="1:7">
      <c r="A574" s="186" t="s">
        <v>128</v>
      </c>
      <c r="B574" s="188"/>
      <c r="C574" s="203" t="s">
        <v>225</v>
      </c>
      <c r="D574" s="172" t="s">
        <v>226</v>
      </c>
      <c r="E574" s="132">
        <v>3</v>
      </c>
      <c r="F574" s="113">
        <v>66</v>
      </c>
      <c r="G574" s="116">
        <f>+ROUND(E574*F574,2)</f>
        <v>198</v>
      </c>
    </row>
    <row r="575" spans="1:7">
      <c r="A575" s="186" t="s">
        <v>129</v>
      </c>
      <c r="B575" s="188"/>
      <c r="C575" s="190" t="s">
        <v>227</v>
      </c>
      <c r="D575" s="172" t="s">
        <v>226</v>
      </c>
      <c r="E575" s="132">
        <v>1</v>
      </c>
      <c r="F575" s="113">
        <v>140</v>
      </c>
      <c r="G575" s="116">
        <f>+ROUND(E575*F575,2)</f>
        <v>140</v>
      </c>
    </row>
    <row r="576" spans="1:7">
      <c r="A576" s="180"/>
      <c r="B576" s="191"/>
      <c r="C576" s="192" t="s">
        <v>106</v>
      </c>
      <c r="D576" s="172" t="s">
        <v>226</v>
      </c>
      <c r="E576" s="132"/>
      <c r="F576" s="113" t="s">
        <v>154</v>
      </c>
      <c r="G576" s="139">
        <f>SUM(G568:G575)</f>
        <v>11821.539999999999</v>
      </c>
    </row>
    <row r="577" spans="1:7" s="157" customFormat="1">
      <c r="A577" s="155"/>
      <c r="B577" s="145"/>
      <c r="C577" s="146"/>
      <c r="D577" s="156"/>
      <c r="E577" s="137"/>
      <c r="F577" s="88"/>
      <c r="G577" s="90"/>
    </row>
    <row r="578" spans="1:7" s="197" customFormat="1">
      <c r="A578" s="193"/>
      <c r="B578" s="194"/>
      <c r="C578" s="195" t="s">
        <v>319</v>
      </c>
      <c r="D578" s="196"/>
      <c r="E578" s="133"/>
      <c r="F578" s="118"/>
      <c r="G578" s="119">
        <f>SUM(G576:G577)</f>
        <v>11821.539999999999</v>
      </c>
    </row>
    <row r="579" spans="1:7" s="197" customFormat="1">
      <c r="A579" s="193"/>
      <c r="B579" s="194"/>
      <c r="C579" s="195" t="s">
        <v>320</v>
      </c>
      <c r="D579" s="196" t="s">
        <v>109</v>
      </c>
      <c r="E579" s="134">
        <f>(E568+E573)*0.9</f>
        <v>0.4572</v>
      </c>
      <c r="F579" s="118">
        <f>Lead!T17</f>
        <v>75</v>
      </c>
      <c r="G579" s="90">
        <f>ROUND(F579*E579,2)</f>
        <v>34.29</v>
      </c>
    </row>
    <row r="580" spans="1:7" s="197" customFormat="1">
      <c r="A580" s="193"/>
      <c r="B580" s="194"/>
      <c r="C580" s="195" t="s">
        <v>321</v>
      </c>
      <c r="D580" s="196" t="s">
        <v>109</v>
      </c>
      <c r="E580" s="134">
        <f>(E568+E573)*0.45+E571*0.021+E572*0.015+SUM(E569:E570)*0.1</f>
        <v>0.44671</v>
      </c>
      <c r="F580" s="118">
        <f>Lead!T10</f>
        <v>90</v>
      </c>
      <c r="G580" s="90">
        <f>ROUND(F580*E580,2)</f>
        <v>40.200000000000003</v>
      </c>
    </row>
    <row r="581" spans="1:7" s="157" customFormat="1">
      <c r="A581" s="155"/>
      <c r="B581" s="145"/>
      <c r="C581" s="146" t="s">
        <v>273</v>
      </c>
      <c r="D581" s="156"/>
      <c r="E581" s="123"/>
      <c r="F581" s="88" t="s">
        <v>154</v>
      </c>
      <c r="G581" s="96">
        <f>SUM(G578:G580)</f>
        <v>11896.03</v>
      </c>
    </row>
    <row r="582" spans="1:7" ht="165.75">
      <c r="A582" s="186"/>
      <c r="B582" s="177"/>
      <c r="C582" s="187" t="s">
        <v>150</v>
      </c>
      <c r="D582" s="172"/>
      <c r="E582" s="132"/>
      <c r="F582" s="113"/>
      <c r="G582" s="116"/>
    </row>
    <row r="583" spans="1:7" ht="38.25">
      <c r="A583" s="186"/>
      <c r="B583" s="177"/>
      <c r="C583" s="187" t="s">
        <v>198</v>
      </c>
      <c r="D583" s="172" t="s">
        <v>109</v>
      </c>
      <c r="E583" s="132">
        <v>0.10299999999999999</v>
      </c>
      <c r="F583" s="113">
        <f>F570</f>
        <v>9540.84</v>
      </c>
      <c r="G583" s="116">
        <f>+ROUND(E583*F583,2)</f>
        <v>982.71</v>
      </c>
    </row>
    <row r="584" spans="1:7" ht="25.5">
      <c r="A584" s="186"/>
      <c r="B584" s="177"/>
      <c r="C584" s="187" t="s">
        <v>274</v>
      </c>
      <c r="D584" s="172" t="s">
        <v>224</v>
      </c>
      <c r="E584" s="132">
        <v>0.52</v>
      </c>
      <c r="F584" s="113">
        <f>F571</f>
        <v>170.45499999999998</v>
      </c>
      <c r="G584" s="116">
        <f>+ROUND(E584*F584/10,2)</f>
        <v>8.86</v>
      </c>
    </row>
    <row r="585" spans="1:7" ht="25.5">
      <c r="A585" s="186"/>
      <c r="B585" s="177"/>
      <c r="C585" s="187" t="s">
        <v>275</v>
      </c>
      <c r="D585" s="172" t="s">
        <v>224</v>
      </c>
      <c r="E585" s="132">
        <v>0.377</v>
      </c>
      <c r="F585" s="113">
        <f>F572</f>
        <v>2594.8599999999997</v>
      </c>
      <c r="G585" s="116">
        <f>+ROUND(E585*F585/10,2)</f>
        <v>97.83</v>
      </c>
    </row>
    <row r="586" spans="1:7">
      <c r="A586" s="186"/>
      <c r="B586" s="177"/>
      <c r="C586" s="192" t="s">
        <v>228</v>
      </c>
      <c r="D586" s="172"/>
      <c r="E586" s="132"/>
      <c r="F586" s="113" t="s">
        <v>154</v>
      </c>
      <c r="G586" s="139">
        <f>SUM(G583:G585)</f>
        <v>1089.4000000000001</v>
      </c>
    </row>
    <row r="587" spans="1:7">
      <c r="A587" s="169"/>
      <c r="B587" s="160"/>
      <c r="C587" s="198" t="s">
        <v>136</v>
      </c>
      <c r="D587" s="181"/>
      <c r="E587" s="127">
        <f>G590</f>
        <v>8627.8300000000017</v>
      </c>
      <c r="F587" s="88">
        <f>-G583</f>
        <v>-982.71</v>
      </c>
      <c r="G587" s="107">
        <f>SUM(E587:F587)</f>
        <v>7645.1200000000017</v>
      </c>
    </row>
    <row r="588" spans="1:7">
      <c r="A588" s="169"/>
      <c r="B588" s="160"/>
      <c r="C588" s="158" t="s">
        <v>641</v>
      </c>
      <c r="D588" s="181"/>
      <c r="E588" s="127">
        <f>G587</f>
        <v>7645.1200000000017</v>
      </c>
      <c r="F588" s="88">
        <f>Lead!Q27</f>
        <v>0.13614999999999999</v>
      </c>
      <c r="G588" s="107">
        <f>ROUND(F588*E588,2)</f>
        <v>1040.8800000000001</v>
      </c>
    </row>
    <row r="589" spans="1:7">
      <c r="A589" s="169"/>
      <c r="B589" s="160"/>
      <c r="C589" s="158" t="s">
        <v>1</v>
      </c>
      <c r="D589" s="181"/>
      <c r="E589" s="127"/>
      <c r="F589" s="88" t="s">
        <v>154</v>
      </c>
      <c r="G589" s="101">
        <f>SUM(G587:G588)</f>
        <v>8686.0000000000018</v>
      </c>
    </row>
    <row r="590" spans="1:7">
      <c r="A590" s="169"/>
      <c r="B590" s="160"/>
      <c r="C590" s="198" t="s">
        <v>301</v>
      </c>
      <c r="D590" s="181"/>
      <c r="E590" s="127">
        <f>G593</f>
        <v>9717.2300000000014</v>
      </c>
      <c r="F590" s="88">
        <f>-G586</f>
        <v>-1089.4000000000001</v>
      </c>
      <c r="G590" s="107">
        <f>SUM(E590:F590)</f>
        <v>8627.8300000000017</v>
      </c>
    </row>
    <row r="591" spans="1:7">
      <c r="A591" s="169"/>
      <c r="B591" s="160"/>
      <c r="C591" s="158" t="s">
        <v>641</v>
      </c>
      <c r="D591" s="181"/>
      <c r="E591" s="127">
        <f>G590</f>
        <v>8627.8300000000017</v>
      </c>
      <c r="F591" s="88">
        <f>Lead!Q27</f>
        <v>0.13614999999999999</v>
      </c>
      <c r="G591" s="107">
        <f>ROUND(F591*E591,2)</f>
        <v>1174.68</v>
      </c>
    </row>
    <row r="592" spans="1:7">
      <c r="A592" s="169"/>
      <c r="B592" s="160"/>
      <c r="C592" s="158" t="s">
        <v>1</v>
      </c>
      <c r="D592" s="181"/>
      <c r="E592" s="127"/>
      <c r="F592" s="88" t="s">
        <v>154</v>
      </c>
      <c r="G592" s="101">
        <f>SUM(G590:G591)</f>
        <v>9802.510000000002</v>
      </c>
    </row>
    <row r="593" spans="1:7">
      <c r="A593" s="169"/>
      <c r="B593" s="160"/>
      <c r="C593" s="198" t="s">
        <v>300</v>
      </c>
      <c r="D593" s="181"/>
      <c r="E593" s="127">
        <f>G596</f>
        <v>10806.630000000001</v>
      </c>
      <c r="F593" s="88">
        <f>-G586</f>
        <v>-1089.4000000000001</v>
      </c>
      <c r="G593" s="107">
        <f>SUM(E593:F593)</f>
        <v>9717.2300000000014</v>
      </c>
    </row>
    <row r="594" spans="1:7">
      <c r="A594" s="169"/>
      <c r="B594" s="160"/>
      <c r="C594" s="158" t="s">
        <v>641</v>
      </c>
      <c r="D594" s="181"/>
      <c r="E594" s="127">
        <f>G593</f>
        <v>9717.2300000000014</v>
      </c>
      <c r="F594" s="88">
        <f>Lead!Q27</f>
        <v>0.13614999999999999</v>
      </c>
      <c r="G594" s="107">
        <f>ROUND(F594*E594,2)</f>
        <v>1323</v>
      </c>
    </row>
    <row r="595" spans="1:7">
      <c r="A595" s="169"/>
      <c r="B595" s="160"/>
      <c r="C595" s="158" t="s">
        <v>1</v>
      </c>
      <c r="D595" s="181"/>
      <c r="E595" s="127"/>
      <c r="F595" s="88" t="s">
        <v>154</v>
      </c>
      <c r="G595" s="101">
        <f>SUM(G593:G594)</f>
        <v>11040.230000000001</v>
      </c>
    </row>
    <row r="596" spans="1:7" s="165" customFormat="1">
      <c r="A596" s="179"/>
      <c r="B596" s="164"/>
      <c r="C596" s="198" t="s">
        <v>299</v>
      </c>
      <c r="D596" s="185"/>
      <c r="E596" s="127">
        <f>G599</f>
        <v>11896.03</v>
      </c>
      <c r="F596" s="98">
        <f>-G586</f>
        <v>-1089.4000000000001</v>
      </c>
      <c r="G596" s="103">
        <f>F596+E596</f>
        <v>10806.630000000001</v>
      </c>
    </row>
    <row r="597" spans="1:7">
      <c r="A597" s="169"/>
      <c r="B597" s="160"/>
      <c r="C597" s="158" t="s">
        <v>641</v>
      </c>
      <c r="D597" s="181"/>
      <c r="E597" s="127">
        <f>G596</f>
        <v>10806.630000000001</v>
      </c>
      <c r="F597" s="88">
        <f>Lead!Q27</f>
        <v>0.13614999999999999</v>
      </c>
      <c r="G597" s="107">
        <f>ROUND(F597*E597,2)</f>
        <v>1471.32</v>
      </c>
    </row>
    <row r="598" spans="1:7">
      <c r="A598" s="169"/>
      <c r="B598" s="160"/>
      <c r="C598" s="158" t="s">
        <v>1</v>
      </c>
      <c r="D598" s="181"/>
      <c r="E598" s="127"/>
      <c r="F598" s="88" t="s">
        <v>154</v>
      </c>
      <c r="G598" s="101">
        <f>SUM(G596:G597)</f>
        <v>12277.95</v>
      </c>
    </row>
    <row r="599" spans="1:7" s="202" customFormat="1">
      <c r="A599" s="199"/>
      <c r="B599" s="200"/>
      <c r="C599" s="198" t="s">
        <v>59</v>
      </c>
      <c r="D599" s="201"/>
      <c r="E599" s="135">
        <f>G581</f>
        <v>11896.03</v>
      </c>
      <c r="F599" s="121"/>
      <c r="G599" s="120">
        <f>F599+E599</f>
        <v>11896.03</v>
      </c>
    </row>
    <row r="600" spans="1:7">
      <c r="A600" s="169"/>
      <c r="B600" s="160"/>
      <c r="C600" s="198" t="s">
        <v>60</v>
      </c>
      <c r="D600" s="181"/>
      <c r="E600" s="127">
        <f>G599</f>
        <v>11896.03</v>
      </c>
      <c r="F600" s="88">
        <f>G586</f>
        <v>1089.4000000000001</v>
      </c>
      <c r="G600" s="107">
        <f>F600+E600</f>
        <v>12985.43</v>
      </c>
    </row>
    <row r="601" spans="1:7">
      <c r="A601" s="169"/>
      <c r="B601" s="160"/>
      <c r="C601" s="158" t="s">
        <v>641</v>
      </c>
      <c r="D601" s="181"/>
      <c r="E601" s="127">
        <f>G600</f>
        <v>12985.43</v>
      </c>
      <c r="F601" s="88">
        <f>Lead!Q27</f>
        <v>0.13614999999999999</v>
      </c>
      <c r="G601" s="107">
        <f>ROUND(F601*E601,2)</f>
        <v>1767.97</v>
      </c>
    </row>
    <row r="602" spans="1:7">
      <c r="A602" s="169"/>
      <c r="B602" s="160"/>
      <c r="C602" s="158" t="s">
        <v>1</v>
      </c>
      <c r="D602" s="181"/>
      <c r="E602" s="127"/>
      <c r="F602" s="88" t="s">
        <v>154</v>
      </c>
      <c r="G602" s="101">
        <f>SUM(G600:G601)</f>
        <v>14753.4</v>
      </c>
    </row>
    <row r="603" spans="1:7">
      <c r="A603" s="169"/>
      <c r="B603" s="160"/>
      <c r="C603" s="198" t="s">
        <v>61</v>
      </c>
      <c r="D603" s="181"/>
      <c r="E603" s="127">
        <f>G600</f>
        <v>12985.43</v>
      </c>
      <c r="F603" s="88">
        <f>G586</f>
        <v>1089.4000000000001</v>
      </c>
      <c r="G603" s="107">
        <f>F603+E603</f>
        <v>14074.83</v>
      </c>
    </row>
    <row r="604" spans="1:7">
      <c r="A604" s="169"/>
      <c r="B604" s="160"/>
      <c r="C604" s="158" t="s">
        <v>641</v>
      </c>
      <c r="D604" s="181"/>
      <c r="E604" s="127">
        <f>G603</f>
        <v>14074.83</v>
      </c>
      <c r="F604" s="88">
        <f>Lead!Q27</f>
        <v>0.13614999999999999</v>
      </c>
      <c r="G604" s="107">
        <f>ROUND(F604*E604,2)</f>
        <v>1916.29</v>
      </c>
    </row>
    <row r="605" spans="1:7">
      <c r="A605" s="169"/>
      <c r="B605" s="160"/>
      <c r="C605" s="158" t="s">
        <v>1</v>
      </c>
      <c r="D605" s="181"/>
      <c r="E605" s="127"/>
      <c r="F605" s="88" t="s">
        <v>154</v>
      </c>
      <c r="G605" s="101">
        <f>SUM(G603:G604)</f>
        <v>15991.119999999999</v>
      </c>
    </row>
    <row r="606" spans="1:7">
      <c r="A606" s="169"/>
      <c r="B606" s="160"/>
      <c r="C606" s="198" t="s">
        <v>62</v>
      </c>
      <c r="D606" s="181"/>
      <c r="E606" s="127">
        <f>G603</f>
        <v>14074.83</v>
      </c>
      <c r="F606" s="88">
        <f>G586</f>
        <v>1089.4000000000001</v>
      </c>
      <c r="G606" s="107">
        <f>F606+E606</f>
        <v>15164.23</v>
      </c>
    </row>
    <row r="607" spans="1:7">
      <c r="A607" s="169"/>
      <c r="B607" s="160"/>
      <c r="C607" s="158" t="s">
        <v>641</v>
      </c>
      <c r="D607" s="181"/>
      <c r="E607" s="127">
        <f>G606</f>
        <v>15164.23</v>
      </c>
      <c r="F607" s="88">
        <f>Lead!Q27</f>
        <v>0.13614999999999999</v>
      </c>
      <c r="G607" s="107">
        <f>ROUND(F607*E607,2)</f>
        <v>2064.61</v>
      </c>
    </row>
    <row r="608" spans="1:7">
      <c r="A608" s="169"/>
      <c r="B608" s="160"/>
      <c r="C608" s="158" t="s">
        <v>1</v>
      </c>
      <c r="D608" s="181"/>
      <c r="E608" s="127"/>
      <c r="F608" s="88" t="s">
        <v>154</v>
      </c>
      <c r="G608" s="101">
        <f>SUM(G606:G607)</f>
        <v>17228.84</v>
      </c>
    </row>
    <row r="609" spans="1:7">
      <c r="A609" s="169"/>
      <c r="B609" s="160"/>
      <c r="C609" s="198" t="s">
        <v>63</v>
      </c>
      <c r="D609" s="181"/>
      <c r="E609" s="127">
        <f>G606</f>
        <v>15164.23</v>
      </c>
      <c r="F609" s="88">
        <f>G586</f>
        <v>1089.4000000000001</v>
      </c>
      <c r="G609" s="107">
        <f>F609+E609</f>
        <v>16253.63</v>
      </c>
    </row>
    <row r="610" spans="1:7">
      <c r="A610" s="169"/>
      <c r="B610" s="160"/>
      <c r="C610" s="158" t="s">
        <v>641</v>
      </c>
      <c r="D610" s="181"/>
      <c r="E610" s="127">
        <f>G609</f>
        <v>16253.63</v>
      </c>
      <c r="F610" s="88">
        <f>Lead!Q27</f>
        <v>0.13614999999999999</v>
      </c>
      <c r="G610" s="107">
        <f>ROUND(F610*E610,2)</f>
        <v>2212.9299999999998</v>
      </c>
    </row>
    <row r="611" spans="1:7">
      <c r="A611" s="169"/>
      <c r="B611" s="160"/>
      <c r="C611" s="158" t="s">
        <v>1</v>
      </c>
      <c r="D611" s="181"/>
      <c r="E611" s="127"/>
      <c r="F611" s="88" t="s">
        <v>154</v>
      </c>
      <c r="G611" s="101">
        <f>SUM(G609:G610)</f>
        <v>18466.559999999998</v>
      </c>
    </row>
    <row r="612" spans="1:7">
      <c r="A612" s="169"/>
      <c r="B612" s="160"/>
      <c r="C612" s="198" t="s">
        <v>64</v>
      </c>
      <c r="D612" s="181"/>
      <c r="E612" s="127">
        <f>G609</f>
        <v>16253.63</v>
      </c>
      <c r="F612" s="88">
        <f>G586</f>
        <v>1089.4000000000001</v>
      </c>
      <c r="G612" s="107">
        <f>F612+E612</f>
        <v>17343.03</v>
      </c>
    </row>
    <row r="613" spans="1:7">
      <c r="A613" s="169"/>
      <c r="B613" s="160"/>
      <c r="C613" s="158" t="s">
        <v>641</v>
      </c>
      <c r="D613" s="181"/>
      <c r="E613" s="127">
        <f>G612</f>
        <v>17343.03</v>
      </c>
      <c r="F613" s="88">
        <f>Lead!Q27</f>
        <v>0.13614999999999999</v>
      </c>
      <c r="G613" s="107">
        <f>ROUND(F613*E613,2)</f>
        <v>2361.25</v>
      </c>
    </row>
    <row r="614" spans="1:7">
      <c r="A614" s="169"/>
      <c r="B614" s="160"/>
      <c r="C614" s="158" t="s">
        <v>1</v>
      </c>
      <c r="D614" s="181"/>
      <c r="E614" s="127"/>
      <c r="F614" s="88" t="s">
        <v>154</v>
      </c>
      <c r="G614" s="101">
        <f>SUM(G612:G613)</f>
        <v>19704.28</v>
      </c>
    </row>
    <row r="615" spans="1:7">
      <c r="A615" s="169"/>
      <c r="B615" s="160"/>
      <c r="C615" s="198" t="s">
        <v>65</v>
      </c>
      <c r="D615" s="181"/>
      <c r="E615" s="127">
        <f>G612</f>
        <v>17343.03</v>
      </c>
      <c r="F615" s="88">
        <f>G586</f>
        <v>1089.4000000000001</v>
      </c>
      <c r="G615" s="107">
        <f>F615+E615</f>
        <v>18432.43</v>
      </c>
    </row>
    <row r="616" spans="1:7">
      <c r="A616" s="169"/>
      <c r="B616" s="160"/>
      <c r="C616" s="158" t="s">
        <v>641</v>
      </c>
      <c r="D616" s="181"/>
      <c r="E616" s="127">
        <f>G615</f>
        <v>18432.43</v>
      </c>
      <c r="F616" s="88">
        <f>Lead!Q27</f>
        <v>0.13614999999999999</v>
      </c>
      <c r="G616" s="107">
        <f>ROUND(F616*E616,2)</f>
        <v>2509.58</v>
      </c>
    </row>
    <row r="617" spans="1:7">
      <c r="A617" s="169"/>
      <c r="B617" s="160"/>
      <c r="C617" s="158" t="s">
        <v>1</v>
      </c>
      <c r="D617" s="181"/>
      <c r="E617" s="127"/>
      <c r="F617" s="88" t="s">
        <v>154</v>
      </c>
      <c r="G617" s="101">
        <f>SUM(G615:G616)</f>
        <v>20942.010000000002</v>
      </c>
    </row>
    <row r="618" spans="1:7">
      <c r="A618" s="169"/>
      <c r="B618" s="160"/>
      <c r="C618" s="198" t="s">
        <v>66</v>
      </c>
      <c r="D618" s="181"/>
      <c r="E618" s="127">
        <f>G615</f>
        <v>18432.43</v>
      </c>
      <c r="F618" s="88">
        <f>G586</f>
        <v>1089.4000000000001</v>
      </c>
      <c r="G618" s="107">
        <f>F618+E618</f>
        <v>19521.830000000002</v>
      </c>
    </row>
    <row r="619" spans="1:7">
      <c r="A619" s="169"/>
      <c r="B619" s="160"/>
      <c r="C619" s="158" t="s">
        <v>641</v>
      </c>
      <c r="D619" s="181"/>
      <c r="E619" s="127">
        <f>G618</f>
        <v>19521.830000000002</v>
      </c>
      <c r="F619" s="88">
        <f>Lead!Q27</f>
        <v>0.13614999999999999</v>
      </c>
      <c r="G619" s="107">
        <f>ROUND(F619*E619,2)</f>
        <v>2657.9</v>
      </c>
    </row>
    <row r="620" spans="1:7">
      <c r="A620" s="169"/>
      <c r="B620" s="160"/>
      <c r="C620" s="158" t="s">
        <v>1</v>
      </c>
      <c r="D620" s="181"/>
      <c r="E620" s="127"/>
      <c r="F620" s="88" t="s">
        <v>154</v>
      </c>
      <c r="G620" s="101">
        <f>SUM(G618:G619)</f>
        <v>22179.730000000003</v>
      </c>
    </row>
    <row r="621" spans="1:7">
      <c r="A621" s="169"/>
      <c r="B621" s="160"/>
      <c r="C621" s="198" t="s">
        <v>67</v>
      </c>
      <c r="D621" s="181"/>
      <c r="E621" s="127">
        <f>G618</f>
        <v>19521.830000000002</v>
      </c>
      <c r="F621" s="88">
        <f>G586</f>
        <v>1089.4000000000001</v>
      </c>
      <c r="G621" s="107">
        <f>F621+E621</f>
        <v>20611.230000000003</v>
      </c>
    </row>
    <row r="622" spans="1:7">
      <c r="A622" s="169"/>
      <c r="B622" s="160"/>
      <c r="C622" s="158" t="s">
        <v>641</v>
      </c>
      <c r="D622" s="181"/>
      <c r="E622" s="127">
        <f>G621</f>
        <v>20611.230000000003</v>
      </c>
      <c r="F622" s="88">
        <f>Lead!Q27</f>
        <v>0.13614999999999999</v>
      </c>
      <c r="G622" s="107">
        <f>ROUND(F622*E622,2)</f>
        <v>2806.22</v>
      </c>
    </row>
    <row r="623" spans="1:7">
      <c r="A623" s="169"/>
      <c r="B623" s="160"/>
      <c r="C623" s="158" t="s">
        <v>1</v>
      </c>
      <c r="D623" s="181"/>
      <c r="E623" s="127"/>
      <c r="F623" s="88" t="s">
        <v>154</v>
      </c>
      <c r="G623" s="101">
        <f>SUM(G621:G622)</f>
        <v>23417.450000000004</v>
      </c>
    </row>
    <row r="624" spans="1:7">
      <c r="A624" s="169"/>
      <c r="B624" s="160"/>
      <c r="C624" s="198" t="s">
        <v>137</v>
      </c>
      <c r="D624" s="181"/>
      <c r="E624" s="127">
        <f>G621</f>
        <v>20611.230000000003</v>
      </c>
      <c r="F624" s="88">
        <f>G586</f>
        <v>1089.4000000000001</v>
      </c>
      <c r="G624" s="107">
        <f>F624+E624</f>
        <v>21700.630000000005</v>
      </c>
    </row>
    <row r="625" spans="1:7">
      <c r="A625" s="169"/>
      <c r="B625" s="160"/>
      <c r="C625" s="158" t="s">
        <v>641</v>
      </c>
      <c r="D625" s="181"/>
      <c r="E625" s="127">
        <f>G624</f>
        <v>21700.630000000005</v>
      </c>
      <c r="F625" s="88">
        <f>Lead!Q27</f>
        <v>0.13614999999999999</v>
      </c>
      <c r="G625" s="107">
        <f>ROUND(F625*E625,2)</f>
        <v>2954.54</v>
      </c>
    </row>
    <row r="626" spans="1:7">
      <c r="A626" s="169"/>
      <c r="B626" s="160"/>
      <c r="C626" s="158" t="s">
        <v>1</v>
      </c>
      <c r="D626" s="181"/>
      <c r="E626" s="127"/>
      <c r="F626" s="88" t="s">
        <v>154</v>
      </c>
      <c r="G626" s="101">
        <f>SUM(G624:G625)</f>
        <v>24655.170000000006</v>
      </c>
    </row>
    <row r="627" spans="1:7">
      <c r="A627" s="169"/>
      <c r="B627" s="160"/>
      <c r="C627" s="198" t="s">
        <v>138</v>
      </c>
      <c r="D627" s="181"/>
      <c r="E627" s="127">
        <f>G624</f>
        <v>21700.630000000005</v>
      </c>
      <c r="F627" s="88">
        <f>G586</f>
        <v>1089.4000000000001</v>
      </c>
      <c r="G627" s="107">
        <f>F627+E627</f>
        <v>22790.030000000006</v>
      </c>
    </row>
    <row r="628" spans="1:7">
      <c r="A628" s="169"/>
      <c r="B628" s="160"/>
      <c r="C628" s="158" t="s">
        <v>641</v>
      </c>
      <c r="D628" s="181"/>
      <c r="E628" s="127">
        <f>G627</f>
        <v>22790.030000000006</v>
      </c>
      <c r="F628" s="88">
        <f>Lead!Q27</f>
        <v>0.13614999999999999</v>
      </c>
      <c r="G628" s="107">
        <f>ROUND(F628*E628,2)</f>
        <v>3102.86</v>
      </c>
    </row>
    <row r="629" spans="1:7">
      <c r="A629" s="169"/>
      <c r="B629" s="160"/>
      <c r="C629" s="158" t="s">
        <v>1</v>
      </c>
      <c r="D629" s="181"/>
      <c r="E629" s="127"/>
      <c r="F629" s="88" t="s">
        <v>154</v>
      </c>
      <c r="G629" s="101">
        <f>SUM(G627:G628)</f>
        <v>25892.890000000007</v>
      </c>
    </row>
    <row r="630" spans="1:7" ht="100.5" customHeight="1">
      <c r="A630" s="171"/>
      <c r="B630" s="160"/>
      <c r="C630" s="173" t="s">
        <v>305</v>
      </c>
      <c r="D630" s="176"/>
      <c r="E630" s="128"/>
      <c r="F630" s="98"/>
      <c r="G630" s="103"/>
    </row>
    <row r="631" spans="1:7">
      <c r="A631" s="171"/>
      <c r="B631" s="160"/>
      <c r="C631" s="173" t="s">
        <v>354</v>
      </c>
      <c r="D631" s="176" t="s">
        <v>226</v>
      </c>
      <c r="E631" s="128">
        <v>1</v>
      </c>
      <c r="F631" s="98">
        <v>1782</v>
      </c>
      <c r="G631" s="102">
        <f>F631*E631</f>
        <v>1782</v>
      </c>
    </row>
    <row r="632" spans="1:7">
      <c r="A632" s="169"/>
      <c r="B632" s="160"/>
      <c r="C632" s="158" t="s">
        <v>0</v>
      </c>
      <c r="D632" s="181"/>
      <c r="E632" s="127">
        <f>G631</f>
        <v>1782</v>
      </c>
      <c r="F632" s="271">
        <f>Lead!Q27</f>
        <v>0.13614999999999999</v>
      </c>
      <c r="G632" s="100">
        <f>ROUND(F632*E632,2)</f>
        <v>242.62</v>
      </c>
    </row>
    <row r="633" spans="1:7">
      <c r="A633" s="169"/>
      <c r="B633" s="160"/>
      <c r="C633" s="158" t="s">
        <v>1</v>
      </c>
      <c r="D633" s="181"/>
      <c r="E633" s="127"/>
      <c r="F633" s="88" t="s">
        <v>154</v>
      </c>
      <c r="G633" s="101">
        <f>SUM(G631:G632)</f>
        <v>2024.62</v>
      </c>
    </row>
    <row r="634" spans="1:7">
      <c r="A634" s="171"/>
      <c r="B634" s="160"/>
      <c r="C634" s="173" t="s">
        <v>415</v>
      </c>
      <c r="D634" s="176" t="s">
        <v>226</v>
      </c>
      <c r="E634" s="128">
        <v>1</v>
      </c>
      <c r="F634" s="98">
        <v>1802</v>
      </c>
      <c r="G634" s="102">
        <f>F634*E634</f>
        <v>1802</v>
      </c>
    </row>
    <row r="635" spans="1:7">
      <c r="A635" s="169"/>
      <c r="B635" s="160"/>
      <c r="C635" s="158" t="s">
        <v>0</v>
      </c>
      <c r="D635" s="181"/>
      <c r="E635" s="127">
        <f>G634</f>
        <v>1802</v>
      </c>
      <c r="F635" s="88">
        <f>Lead!Q27</f>
        <v>0.13614999999999999</v>
      </c>
      <c r="G635" s="100">
        <f>ROUND(F635*E635,2)</f>
        <v>245.34</v>
      </c>
    </row>
    <row r="636" spans="1:7">
      <c r="A636" s="169"/>
      <c r="B636" s="160"/>
      <c r="C636" s="158" t="s">
        <v>1</v>
      </c>
      <c r="D636" s="181"/>
      <c r="E636" s="127"/>
      <c r="F636" s="88" t="s">
        <v>154</v>
      </c>
      <c r="G636" s="101">
        <f>SUM(G634:G635)</f>
        <v>2047.34</v>
      </c>
    </row>
    <row r="637" spans="1:7">
      <c r="A637" s="171"/>
      <c r="B637" s="160"/>
      <c r="C637" s="173" t="s">
        <v>306</v>
      </c>
      <c r="D637" s="176" t="s">
        <v>226</v>
      </c>
      <c r="E637" s="128">
        <v>1</v>
      </c>
      <c r="F637" s="98">
        <v>2297</v>
      </c>
      <c r="G637" s="102">
        <f>F637*E637</f>
        <v>2297</v>
      </c>
    </row>
    <row r="638" spans="1:7">
      <c r="A638" s="169"/>
      <c r="B638" s="160"/>
      <c r="C638" s="158" t="s">
        <v>0</v>
      </c>
      <c r="D638" s="181"/>
      <c r="E638" s="127">
        <f>G637</f>
        <v>2297</v>
      </c>
      <c r="F638" s="88">
        <f>Lead!Q27</f>
        <v>0.13614999999999999</v>
      </c>
      <c r="G638" s="100">
        <f>ROUND(F638*E638,2)</f>
        <v>312.74</v>
      </c>
    </row>
    <row r="639" spans="1:7">
      <c r="A639" s="169"/>
      <c r="B639" s="160"/>
      <c r="C639" s="158" t="s">
        <v>1</v>
      </c>
      <c r="D639" s="181"/>
      <c r="E639" s="127"/>
      <c r="F639" s="88" t="s">
        <v>154</v>
      </c>
      <c r="G639" s="101">
        <f>SUM(G637:G638)</f>
        <v>2609.7399999999998</v>
      </c>
    </row>
    <row r="640" spans="1:7" ht="25.5">
      <c r="A640" s="171"/>
      <c r="B640" s="160"/>
      <c r="C640" s="173" t="s">
        <v>355</v>
      </c>
      <c r="D640" s="176" t="s">
        <v>226</v>
      </c>
      <c r="E640" s="128">
        <v>1</v>
      </c>
      <c r="F640" s="98">
        <v>2464</v>
      </c>
      <c r="G640" s="102">
        <f>F640*E640</f>
        <v>2464</v>
      </c>
    </row>
    <row r="641" spans="1:7">
      <c r="A641" s="169"/>
      <c r="B641" s="160"/>
      <c r="C641" s="158" t="s">
        <v>0</v>
      </c>
      <c r="D641" s="181"/>
      <c r="E641" s="127">
        <f>G640</f>
        <v>2464</v>
      </c>
      <c r="F641" s="88">
        <f>Lead!Q27</f>
        <v>0.13614999999999999</v>
      </c>
      <c r="G641" s="100">
        <f>ROUND(F641*E641,2)</f>
        <v>335.47</v>
      </c>
    </row>
    <row r="642" spans="1:7">
      <c r="A642" s="169"/>
      <c r="B642" s="160"/>
      <c r="C642" s="158" t="s">
        <v>1</v>
      </c>
      <c r="D642" s="181"/>
      <c r="E642" s="127"/>
      <c r="F642" s="88" t="s">
        <v>154</v>
      </c>
      <c r="G642" s="101">
        <f>SUM(G640:G641)</f>
        <v>2799.4700000000003</v>
      </c>
    </row>
    <row r="643" spans="1:7">
      <c r="A643" s="169"/>
      <c r="B643" s="160"/>
      <c r="C643" s="158"/>
      <c r="D643" s="181"/>
      <c r="E643" s="214"/>
      <c r="F643" s="215"/>
      <c r="G643" s="107"/>
    </row>
    <row r="644" spans="1:7">
      <c r="A644" s="169"/>
      <c r="B644" s="160"/>
      <c r="C644" s="158"/>
      <c r="D644" s="181"/>
      <c r="E644" s="214"/>
      <c r="F644" s="215"/>
      <c r="G644" s="107"/>
    </row>
    <row r="645" spans="1:7">
      <c r="A645" s="169"/>
      <c r="B645" s="160"/>
      <c r="C645" s="158"/>
      <c r="D645" s="181"/>
      <c r="E645" s="214"/>
      <c r="F645" s="215"/>
      <c r="G645" s="107"/>
    </row>
    <row r="646" spans="1:7">
      <c r="A646" s="169"/>
      <c r="B646" s="160"/>
      <c r="C646" s="158"/>
      <c r="D646" s="181"/>
      <c r="E646" s="214"/>
      <c r="F646" s="215"/>
      <c r="G646" s="107"/>
    </row>
    <row r="647" spans="1:7">
      <c r="A647" s="169"/>
      <c r="B647" s="160"/>
      <c r="C647" s="158"/>
      <c r="D647" s="158"/>
      <c r="E647" s="268"/>
      <c r="F647" s="158"/>
      <c r="G647" s="158"/>
    </row>
    <row r="648" spans="1:7">
      <c r="A648" s="169"/>
      <c r="B648" s="160"/>
      <c r="C648" s="158"/>
      <c r="D648" s="158"/>
      <c r="E648" s="268"/>
      <c r="F648" s="158"/>
      <c r="G648" s="158"/>
    </row>
    <row r="649" spans="1:7">
      <c r="A649" s="169"/>
      <c r="B649" s="160"/>
      <c r="C649" s="158"/>
      <c r="D649" s="181"/>
      <c r="E649" s="214"/>
      <c r="F649" s="215"/>
      <c r="G649" s="107"/>
    </row>
    <row r="650" spans="1:7">
      <c r="A650" s="169"/>
      <c r="B650" s="160"/>
      <c r="C650" s="158"/>
      <c r="D650" s="181"/>
      <c r="E650" s="214"/>
      <c r="F650" s="215"/>
      <c r="G650" s="107"/>
    </row>
    <row r="651" spans="1:7">
      <c r="A651" s="169"/>
      <c r="B651" s="160"/>
      <c r="C651" s="158"/>
      <c r="D651" s="181"/>
      <c r="E651" s="214"/>
      <c r="F651" s="215"/>
      <c r="G651" s="107"/>
    </row>
    <row r="652" spans="1:7">
      <c r="A652" s="169"/>
      <c r="B652" s="160"/>
      <c r="C652" s="158"/>
      <c r="D652" s="181"/>
      <c r="E652" s="214"/>
      <c r="F652" s="215"/>
      <c r="G652" s="107"/>
    </row>
    <row r="653" spans="1:7">
      <c r="A653" s="169"/>
      <c r="B653" s="160"/>
      <c r="C653" s="158"/>
      <c r="D653" s="181"/>
      <c r="E653" s="214"/>
      <c r="F653" s="215"/>
      <c r="G653" s="107"/>
    </row>
    <row r="654" spans="1:7">
      <c r="A654" s="169"/>
      <c r="B654" s="160"/>
      <c r="C654" s="158"/>
      <c r="D654" s="181"/>
      <c r="E654" s="214"/>
      <c r="F654" s="215"/>
      <c r="G654" s="107"/>
    </row>
    <row r="655" spans="1:7">
      <c r="A655" s="169"/>
      <c r="B655" s="160"/>
      <c r="C655" s="158"/>
      <c r="D655" s="181"/>
      <c r="E655" s="214"/>
      <c r="F655" s="215"/>
      <c r="G655" s="107"/>
    </row>
    <row r="656" spans="1:7">
      <c r="A656" s="169"/>
      <c r="B656" s="160"/>
      <c r="C656" s="158"/>
      <c r="D656" s="181"/>
      <c r="E656" s="214"/>
      <c r="F656" s="215"/>
      <c r="G656" s="107"/>
    </row>
    <row r="657" spans="1:7">
      <c r="A657" s="169"/>
      <c r="B657" s="160"/>
      <c r="C657" s="158"/>
      <c r="D657" s="181"/>
      <c r="E657" s="214"/>
      <c r="F657" s="215"/>
      <c r="G657" s="107"/>
    </row>
    <row r="658" spans="1:7">
      <c r="A658" s="169"/>
      <c r="B658" s="160"/>
      <c r="C658" s="158"/>
      <c r="D658" s="181"/>
      <c r="E658" s="214"/>
      <c r="F658" s="215"/>
      <c r="G658" s="107"/>
    </row>
    <row r="659" spans="1:7">
      <c r="A659" s="169"/>
      <c r="B659" s="160"/>
      <c r="C659" s="158"/>
      <c r="D659" s="181"/>
      <c r="E659" s="214"/>
      <c r="F659" s="215"/>
      <c r="G659" s="107"/>
    </row>
    <row r="660" spans="1:7">
      <c r="A660" s="169"/>
      <c r="B660" s="160"/>
      <c r="C660" s="158"/>
      <c r="D660" s="181"/>
      <c r="E660" s="214"/>
      <c r="F660" s="215"/>
      <c r="G660" s="107"/>
    </row>
    <row r="661" spans="1:7">
      <c r="A661" s="169"/>
      <c r="B661" s="160"/>
      <c r="C661" s="158"/>
      <c r="D661" s="181"/>
      <c r="E661" s="214"/>
      <c r="F661" s="215"/>
      <c r="G661" s="107"/>
    </row>
    <row r="662" spans="1:7">
      <c r="A662" s="169"/>
      <c r="B662" s="160"/>
      <c r="C662" s="158"/>
      <c r="D662" s="181"/>
      <c r="E662" s="214"/>
      <c r="F662" s="215"/>
      <c r="G662" s="107"/>
    </row>
    <row r="663" spans="1:7">
      <c r="A663" s="169"/>
      <c r="B663" s="160"/>
      <c r="C663" s="158"/>
      <c r="D663" s="181"/>
      <c r="E663" s="214"/>
      <c r="F663" s="215"/>
      <c r="G663" s="107"/>
    </row>
    <row r="664" spans="1:7">
      <c r="A664" s="169"/>
      <c r="B664" s="160"/>
      <c r="C664" s="158"/>
      <c r="D664" s="181"/>
      <c r="E664" s="214"/>
      <c r="F664" s="215"/>
      <c r="G664" s="107"/>
    </row>
    <row r="665" spans="1:7">
      <c r="A665" s="169"/>
      <c r="B665" s="160"/>
      <c r="C665" s="158"/>
      <c r="D665" s="181"/>
      <c r="E665" s="214"/>
      <c r="F665" s="215"/>
      <c r="G665" s="107"/>
    </row>
    <row r="666" spans="1:7">
      <c r="A666" s="169"/>
      <c r="B666" s="160"/>
      <c r="C666" s="158"/>
      <c r="D666" s="181"/>
      <c r="E666" s="214"/>
      <c r="F666" s="215"/>
      <c r="G666" s="107"/>
    </row>
    <row r="667" spans="1:7">
      <c r="A667" s="169"/>
      <c r="B667" s="160"/>
      <c r="C667" s="158"/>
      <c r="D667" s="181"/>
      <c r="E667" s="214"/>
      <c r="F667" s="215"/>
      <c r="G667" s="107"/>
    </row>
    <row r="668" spans="1:7">
      <c r="A668" s="169"/>
      <c r="B668" s="160"/>
      <c r="C668" s="158"/>
      <c r="D668" s="181"/>
      <c r="E668" s="214"/>
      <c r="F668" s="215"/>
      <c r="G668" s="107"/>
    </row>
    <row r="669" spans="1:7">
      <c r="A669" s="169"/>
      <c r="B669" s="160"/>
      <c r="C669" s="158"/>
      <c r="D669" s="181"/>
      <c r="E669" s="214"/>
      <c r="F669" s="215"/>
      <c r="G669" s="107"/>
    </row>
    <row r="670" spans="1:7">
      <c r="A670" s="169"/>
      <c r="B670" s="160"/>
      <c r="C670" s="158"/>
      <c r="D670" s="181"/>
      <c r="E670" s="214"/>
      <c r="F670" s="215"/>
      <c r="G670" s="107"/>
    </row>
    <row r="671" spans="1:7">
      <c r="A671" s="169"/>
      <c r="B671" s="160"/>
      <c r="C671" s="158"/>
      <c r="D671" s="181"/>
      <c r="E671" s="214"/>
      <c r="F671" s="215"/>
      <c r="G671" s="107"/>
    </row>
    <row r="672" spans="1:7">
      <c r="A672" s="169"/>
      <c r="B672" s="160"/>
      <c r="C672" s="158"/>
      <c r="D672" s="181"/>
      <c r="E672" s="214"/>
      <c r="F672" s="215"/>
      <c r="G672" s="107"/>
    </row>
    <row r="673" spans="1:7">
      <c r="A673" s="169"/>
      <c r="B673" s="160"/>
      <c r="C673" s="158"/>
      <c r="D673" s="181"/>
      <c r="E673" s="214"/>
      <c r="F673" s="215"/>
      <c r="G673" s="107"/>
    </row>
    <row r="674" spans="1:7">
      <c r="A674" s="169"/>
      <c r="B674" s="160"/>
      <c r="C674" s="158"/>
      <c r="D674" s="181"/>
      <c r="E674" s="214"/>
      <c r="F674" s="215"/>
      <c r="G674" s="107"/>
    </row>
    <row r="675" spans="1:7">
      <c r="A675" s="169"/>
      <c r="B675" s="160"/>
      <c r="C675" s="158"/>
      <c r="D675" s="181"/>
      <c r="E675" s="214"/>
      <c r="F675" s="215"/>
      <c r="G675" s="107"/>
    </row>
    <row r="676" spans="1:7">
      <c r="A676" s="169"/>
      <c r="B676" s="160"/>
      <c r="C676" s="158"/>
      <c r="D676" s="181"/>
      <c r="E676" s="214"/>
      <c r="F676" s="215"/>
      <c r="G676" s="107"/>
    </row>
    <row r="677" spans="1:7">
      <c r="A677" s="169"/>
      <c r="B677" s="160"/>
      <c r="C677" s="158"/>
      <c r="D677" s="181"/>
      <c r="E677" s="214"/>
      <c r="F677" s="215"/>
      <c r="G677" s="107"/>
    </row>
    <row r="678" spans="1:7">
      <c r="A678" s="169"/>
      <c r="B678" s="160"/>
      <c r="C678" s="158"/>
      <c r="D678" s="181"/>
      <c r="E678" s="214"/>
      <c r="F678" s="215"/>
      <c r="G678" s="107"/>
    </row>
    <row r="679" spans="1:7">
      <c r="A679" s="169"/>
      <c r="B679" s="160"/>
      <c r="C679" s="158"/>
      <c r="D679" s="181"/>
      <c r="E679" s="214"/>
      <c r="F679" s="215"/>
      <c r="G679" s="107"/>
    </row>
    <row r="680" spans="1:7">
      <c r="A680" s="169"/>
      <c r="B680" s="160"/>
      <c r="C680" s="158"/>
      <c r="D680" s="181"/>
      <c r="E680" s="214"/>
      <c r="F680" s="215"/>
      <c r="G680" s="107"/>
    </row>
    <row r="681" spans="1:7">
      <c r="A681" s="169"/>
      <c r="B681" s="160"/>
      <c r="C681" s="158"/>
      <c r="D681" s="181"/>
      <c r="E681" s="214"/>
      <c r="F681" s="215"/>
      <c r="G681" s="107"/>
    </row>
    <row r="682" spans="1:7">
      <c r="A682" s="169"/>
      <c r="B682" s="160"/>
      <c r="C682" s="158"/>
      <c r="D682" s="181"/>
      <c r="E682" s="214"/>
      <c r="F682" s="215"/>
      <c r="G682" s="107"/>
    </row>
    <row r="683" spans="1:7">
      <c r="A683" s="169"/>
      <c r="B683" s="160"/>
      <c r="C683" s="158"/>
      <c r="D683" s="181"/>
      <c r="E683" s="214"/>
      <c r="F683" s="215"/>
      <c r="G683" s="107"/>
    </row>
    <row r="684" spans="1:7">
      <c r="A684" s="169"/>
      <c r="B684" s="160"/>
      <c r="C684" s="158"/>
      <c r="D684" s="181"/>
      <c r="E684" s="214"/>
      <c r="F684" s="215"/>
      <c r="G684" s="107"/>
    </row>
    <row r="685" spans="1:7">
      <c r="A685" s="169"/>
      <c r="B685" s="160"/>
      <c r="C685" s="158"/>
      <c r="D685" s="181"/>
      <c r="E685" s="214"/>
      <c r="F685" s="215"/>
      <c r="G685" s="107"/>
    </row>
    <row r="686" spans="1:7">
      <c r="A686" s="169"/>
      <c r="B686" s="160"/>
      <c r="C686" s="158"/>
      <c r="D686" s="181"/>
      <c r="E686" s="214"/>
      <c r="F686" s="215"/>
      <c r="G686" s="107"/>
    </row>
    <row r="687" spans="1:7">
      <c r="A687" s="169"/>
      <c r="B687" s="160"/>
      <c r="C687" s="158"/>
      <c r="D687" s="181"/>
      <c r="E687" s="214"/>
      <c r="F687" s="215"/>
      <c r="G687" s="107"/>
    </row>
    <row r="688" spans="1:7">
      <c r="A688" s="169"/>
      <c r="B688" s="160"/>
      <c r="C688" s="158"/>
      <c r="D688" s="181"/>
      <c r="E688" s="214"/>
      <c r="F688" s="215"/>
      <c r="G688" s="107"/>
    </row>
    <row r="689" spans="1:7">
      <c r="A689" s="169"/>
      <c r="B689" s="160"/>
      <c r="C689" s="158"/>
      <c r="D689" s="181"/>
      <c r="E689" s="214"/>
      <c r="F689" s="215"/>
      <c r="G689" s="107"/>
    </row>
    <row r="690" spans="1:7">
      <c r="A690" s="169"/>
      <c r="B690" s="160"/>
      <c r="C690" s="158"/>
      <c r="D690" s="181"/>
      <c r="E690" s="214"/>
      <c r="F690" s="215"/>
      <c r="G690" s="107"/>
    </row>
    <row r="691" spans="1:7">
      <c r="A691" s="169"/>
      <c r="B691" s="160"/>
      <c r="C691" s="158"/>
      <c r="D691" s="181"/>
      <c r="E691" s="214"/>
      <c r="F691" s="215"/>
      <c r="G691" s="107"/>
    </row>
    <row r="692" spans="1:7">
      <c r="A692" s="169"/>
      <c r="B692" s="160"/>
      <c r="C692" s="158"/>
      <c r="D692" s="181"/>
      <c r="E692" s="214"/>
      <c r="F692" s="215"/>
      <c r="G692" s="107"/>
    </row>
    <row r="693" spans="1:7">
      <c r="A693" s="169"/>
      <c r="B693" s="160"/>
      <c r="C693" s="158"/>
      <c r="D693" s="181"/>
      <c r="E693" s="214"/>
      <c r="F693" s="215"/>
      <c r="G693" s="107"/>
    </row>
    <row r="694" spans="1:7">
      <c r="A694" s="169"/>
      <c r="B694" s="160"/>
      <c r="C694" s="158"/>
      <c r="D694" s="181"/>
      <c r="E694" s="214"/>
      <c r="F694" s="215"/>
      <c r="G694" s="107"/>
    </row>
    <row r="695" spans="1:7">
      <c r="A695" s="169"/>
      <c r="B695" s="160"/>
      <c r="C695" s="158"/>
      <c r="D695" s="181"/>
      <c r="E695" s="214"/>
      <c r="F695" s="215"/>
      <c r="G695" s="107"/>
    </row>
    <row r="696" spans="1:7">
      <c r="A696" s="169"/>
      <c r="B696" s="160"/>
      <c r="C696" s="158"/>
      <c r="D696" s="181"/>
      <c r="E696" s="214"/>
      <c r="F696" s="215"/>
      <c r="G696" s="107"/>
    </row>
    <row r="697" spans="1:7">
      <c r="A697" s="169"/>
      <c r="B697" s="160"/>
      <c r="C697" s="158"/>
      <c r="D697" s="181"/>
      <c r="E697" s="214"/>
      <c r="F697" s="215"/>
      <c r="G697" s="107"/>
    </row>
    <row r="698" spans="1:7">
      <c r="A698" s="169"/>
      <c r="B698" s="160"/>
      <c r="C698" s="158"/>
      <c r="D698" s="181"/>
      <c r="E698" s="214"/>
      <c r="F698" s="215"/>
      <c r="G698" s="107"/>
    </row>
    <row r="699" spans="1:7">
      <c r="A699" s="169"/>
      <c r="B699" s="160"/>
      <c r="C699" s="158"/>
      <c r="D699" s="181"/>
      <c r="E699" s="214"/>
      <c r="F699" s="215"/>
      <c r="G699" s="107"/>
    </row>
    <row r="700" spans="1:7">
      <c r="A700" s="169"/>
      <c r="B700" s="160"/>
      <c r="C700" s="158"/>
      <c r="D700" s="181"/>
      <c r="E700" s="214"/>
      <c r="F700" s="215"/>
      <c r="G700" s="107"/>
    </row>
    <row r="701" spans="1:7">
      <c r="A701" s="169"/>
      <c r="B701" s="160"/>
      <c r="C701" s="158"/>
      <c r="D701" s="181"/>
      <c r="E701" s="214"/>
      <c r="F701" s="215"/>
      <c r="G701" s="107"/>
    </row>
    <row r="702" spans="1:7">
      <c r="A702" s="169"/>
      <c r="B702" s="160"/>
      <c r="C702" s="158"/>
      <c r="D702" s="181"/>
      <c r="E702" s="214"/>
      <c r="F702" s="215"/>
      <c r="G702" s="107"/>
    </row>
    <row r="703" spans="1:7">
      <c r="A703" s="169"/>
      <c r="B703" s="160"/>
      <c r="C703" s="158"/>
      <c r="D703" s="181"/>
      <c r="E703" s="214"/>
      <c r="F703" s="215"/>
      <c r="G703" s="107"/>
    </row>
    <row r="704" spans="1:7">
      <c r="A704" s="169"/>
      <c r="B704" s="160"/>
      <c r="C704" s="158"/>
      <c r="D704" s="181"/>
      <c r="E704" s="214"/>
      <c r="F704" s="215"/>
      <c r="G704" s="107"/>
    </row>
    <row r="705" spans="1:7">
      <c r="A705" s="169"/>
      <c r="B705" s="160"/>
      <c r="C705" s="158"/>
      <c r="D705" s="181"/>
      <c r="E705" s="214"/>
      <c r="F705" s="215"/>
      <c r="G705" s="107"/>
    </row>
    <row r="706" spans="1:7">
      <c r="A706" s="169"/>
      <c r="B706" s="160"/>
      <c r="C706" s="158"/>
      <c r="D706" s="181"/>
      <c r="E706" s="214"/>
      <c r="F706" s="215"/>
      <c r="G706" s="107"/>
    </row>
    <row r="707" spans="1:7">
      <c r="A707" s="169"/>
      <c r="B707" s="160"/>
      <c r="C707" s="158"/>
      <c r="D707" s="181"/>
      <c r="E707" s="214"/>
      <c r="F707" s="215"/>
      <c r="G707" s="107"/>
    </row>
    <row r="708" spans="1:7">
      <c r="A708" s="169"/>
      <c r="B708" s="160"/>
      <c r="C708" s="158"/>
      <c r="D708" s="181"/>
      <c r="E708" s="214"/>
      <c r="F708" s="215"/>
      <c r="G708" s="107"/>
    </row>
    <row r="709" spans="1:7">
      <c r="A709" s="169"/>
      <c r="B709" s="160"/>
      <c r="C709" s="158"/>
      <c r="D709" s="181"/>
      <c r="E709" s="214"/>
      <c r="F709" s="215"/>
      <c r="G709" s="107"/>
    </row>
    <row r="710" spans="1:7">
      <c r="A710" s="169"/>
      <c r="B710" s="160"/>
      <c r="C710" s="158"/>
      <c r="D710" s="181"/>
      <c r="E710" s="214"/>
      <c r="F710" s="215"/>
      <c r="G710" s="107"/>
    </row>
    <row r="711" spans="1:7">
      <c r="A711" s="169"/>
      <c r="B711" s="160"/>
      <c r="C711" s="158"/>
      <c r="D711" s="181"/>
      <c r="E711" s="214"/>
      <c r="F711" s="215"/>
      <c r="G711" s="107"/>
    </row>
    <row r="712" spans="1:7">
      <c r="A712" s="169"/>
      <c r="B712" s="160"/>
      <c r="C712" s="158"/>
      <c r="D712" s="181"/>
      <c r="E712" s="214"/>
      <c r="F712" s="215"/>
      <c r="G712" s="107"/>
    </row>
    <row r="713" spans="1:7">
      <c r="A713" s="169"/>
      <c r="B713" s="160"/>
      <c r="C713" s="158"/>
      <c r="D713" s="181"/>
      <c r="E713" s="214"/>
      <c r="F713" s="215"/>
      <c r="G713" s="107"/>
    </row>
    <row r="714" spans="1:7">
      <c r="A714" s="169"/>
      <c r="B714" s="160"/>
      <c r="C714" s="158"/>
      <c r="D714" s="181"/>
      <c r="E714" s="214"/>
      <c r="F714" s="215"/>
      <c r="G714" s="107"/>
    </row>
    <row r="715" spans="1:7">
      <c r="A715" s="169"/>
      <c r="B715" s="160"/>
      <c r="C715" s="158"/>
      <c r="D715" s="181"/>
      <c r="E715" s="214"/>
      <c r="F715" s="215"/>
      <c r="G715" s="107"/>
    </row>
    <row r="716" spans="1:7">
      <c r="A716" s="169"/>
      <c r="B716" s="160"/>
      <c r="C716" s="158"/>
      <c r="D716" s="181"/>
      <c r="E716" s="214"/>
      <c r="F716" s="215"/>
      <c r="G716" s="107"/>
    </row>
    <row r="717" spans="1:7">
      <c r="A717" s="169"/>
      <c r="B717" s="160"/>
      <c r="C717" s="158"/>
      <c r="D717" s="181"/>
      <c r="E717" s="214"/>
      <c r="F717" s="215"/>
      <c r="G717" s="107"/>
    </row>
    <row r="718" spans="1:7">
      <c r="A718" s="169"/>
      <c r="B718" s="160"/>
      <c r="C718" s="158"/>
      <c r="D718" s="181"/>
      <c r="E718" s="214"/>
      <c r="F718" s="215"/>
      <c r="G718" s="107"/>
    </row>
    <row r="719" spans="1:7">
      <c r="A719" s="169"/>
      <c r="B719" s="160"/>
      <c r="C719" s="158"/>
      <c r="D719" s="181"/>
      <c r="E719" s="214"/>
      <c r="F719" s="215"/>
      <c r="G719" s="107"/>
    </row>
    <row r="720" spans="1:7">
      <c r="A720" s="169"/>
      <c r="B720" s="160"/>
      <c r="C720" s="158"/>
      <c r="D720" s="181"/>
      <c r="E720" s="214"/>
      <c r="F720" s="215"/>
      <c r="G720" s="107"/>
    </row>
    <row r="721" spans="1:7">
      <c r="A721" s="169"/>
      <c r="B721" s="160"/>
      <c r="C721" s="158"/>
      <c r="D721" s="181"/>
      <c r="E721" s="214"/>
      <c r="F721" s="215"/>
      <c r="G721" s="107"/>
    </row>
    <row r="722" spans="1:7">
      <c r="A722" s="169"/>
      <c r="B722" s="160"/>
      <c r="C722" s="158"/>
      <c r="D722" s="181"/>
      <c r="E722" s="214"/>
      <c r="F722" s="215"/>
      <c r="G722" s="107"/>
    </row>
    <row r="723" spans="1:7">
      <c r="A723" s="169"/>
      <c r="B723" s="160"/>
      <c r="C723" s="158"/>
      <c r="D723" s="181"/>
      <c r="E723" s="214"/>
      <c r="F723" s="215"/>
      <c r="G723" s="107"/>
    </row>
    <row r="724" spans="1:7">
      <c r="A724" s="169"/>
      <c r="B724" s="160"/>
      <c r="C724" s="158"/>
      <c r="D724" s="181"/>
      <c r="E724" s="214"/>
      <c r="F724" s="215"/>
      <c r="G724" s="107"/>
    </row>
    <row r="725" spans="1:7">
      <c r="A725" s="169"/>
      <c r="B725" s="160"/>
      <c r="C725" s="158"/>
      <c r="D725" s="181"/>
      <c r="E725" s="214"/>
      <c r="F725" s="215"/>
      <c r="G725" s="107"/>
    </row>
    <row r="726" spans="1:7">
      <c r="A726" s="169"/>
      <c r="B726" s="160"/>
      <c r="C726" s="158"/>
      <c r="D726" s="181"/>
      <c r="E726" s="214"/>
      <c r="F726" s="215"/>
      <c r="G726" s="107"/>
    </row>
    <row r="727" spans="1:7">
      <c r="A727" s="169"/>
      <c r="B727" s="160"/>
      <c r="C727" s="158"/>
      <c r="D727" s="181"/>
      <c r="E727" s="214"/>
      <c r="F727" s="215"/>
      <c r="G727" s="107"/>
    </row>
    <row r="728" spans="1:7">
      <c r="A728" s="169"/>
      <c r="B728" s="160"/>
      <c r="C728" s="158"/>
      <c r="D728" s="181"/>
      <c r="E728" s="214"/>
      <c r="F728" s="215"/>
      <c r="G728" s="107"/>
    </row>
    <row r="729" spans="1:7">
      <c r="A729" s="169"/>
      <c r="B729" s="160"/>
      <c r="C729" s="158"/>
      <c r="D729" s="181"/>
      <c r="E729" s="214"/>
      <c r="F729" s="215"/>
      <c r="G729" s="107"/>
    </row>
    <row r="730" spans="1:7">
      <c r="A730" s="169"/>
      <c r="B730" s="160"/>
      <c r="C730" s="158"/>
      <c r="D730" s="181"/>
      <c r="E730" s="214"/>
      <c r="F730" s="215"/>
      <c r="G730" s="107"/>
    </row>
    <row r="731" spans="1:7">
      <c r="A731" s="169"/>
      <c r="B731" s="160"/>
      <c r="C731" s="158"/>
      <c r="D731" s="181"/>
      <c r="E731" s="214"/>
      <c r="F731" s="215"/>
      <c r="G731" s="107"/>
    </row>
    <row r="732" spans="1:7">
      <c r="A732" s="169"/>
      <c r="B732" s="160"/>
      <c r="C732" s="158"/>
      <c r="D732" s="181"/>
      <c r="E732" s="214"/>
      <c r="F732" s="215"/>
      <c r="G732" s="107"/>
    </row>
    <row r="733" spans="1:7">
      <c r="A733" s="169"/>
      <c r="B733" s="160"/>
      <c r="C733" s="158"/>
      <c r="D733" s="181"/>
      <c r="E733" s="214"/>
      <c r="F733" s="215"/>
      <c r="G733" s="107"/>
    </row>
    <row r="734" spans="1:7">
      <c r="A734" s="169"/>
      <c r="B734" s="160"/>
      <c r="C734" s="158"/>
      <c r="D734" s="181"/>
      <c r="E734" s="214"/>
      <c r="F734" s="215"/>
      <c r="G734" s="107"/>
    </row>
    <row r="735" spans="1:7">
      <c r="A735" s="169"/>
      <c r="B735" s="160"/>
      <c r="C735" s="158"/>
      <c r="D735" s="181"/>
      <c r="E735" s="214"/>
      <c r="F735" s="215"/>
      <c r="G735" s="107"/>
    </row>
    <row r="736" spans="1:7">
      <c r="A736" s="169"/>
      <c r="B736" s="160"/>
      <c r="C736" s="158"/>
      <c r="D736" s="181"/>
      <c r="E736" s="214"/>
      <c r="F736" s="215"/>
      <c r="G736" s="107"/>
    </row>
    <row r="737" spans="1:7">
      <c r="A737" s="169"/>
      <c r="B737" s="160"/>
      <c r="C737" s="158"/>
      <c r="D737" s="181"/>
      <c r="E737" s="214"/>
      <c r="F737" s="215"/>
      <c r="G737" s="107"/>
    </row>
    <row r="738" spans="1:7">
      <c r="A738" s="169"/>
      <c r="B738" s="160"/>
      <c r="C738" s="158"/>
      <c r="D738" s="181"/>
      <c r="E738" s="214"/>
      <c r="F738" s="215"/>
      <c r="G738" s="107"/>
    </row>
    <row r="739" spans="1:7">
      <c r="A739" s="169"/>
      <c r="B739" s="160"/>
      <c r="C739" s="158"/>
      <c r="D739" s="181"/>
      <c r="E739" s="214"/>
      <c r="F739" s="215"/>
      <c r="G739" s="107"/>
    </row>
    <row r="740" spans="1:7">
      <c r="A740" s="169"/>
      <c r="B740" s="160"/>
      <c r="C740" s="158"/>
      <c r="D740" s="181"/>
      <c r="E740" s="214"/>
      <c r="F740" s="215"/>
      <c r="G740" s="107"/>
    </row>
    <row r="741" spans="1:7">
      <c r="A741" s="169"/>
      <c r="B741" s="160"/>
      <c r="C741" s="158"/>
      <c r="D741" s="181"/>
      <c r="E741" s="214"/>
      <c r="F741" s="215"/>
      <c r="G741" s="107"/>
    </row>
    <row r="742" spans="1:7">
      <c r="A742" s="169"/>
      <c r="B742" s="160"/>
      <c r="C742" s="158"/>
      <c r="D742" s="181"/>
      <c r="E742" s="214"/>
      <c r="F742" s="215"/>
      <c r="G742" s="107"/>
    </row>
    <row r="743" spans="1:7">
      <c r="A743" s="169"/>
      <c r="B743" s="160"/>
      <c r="C743" s="158"/>
      <c r="D743" s="181"/>
      <c r="E743" s="214"/>
      <c r="F743" s="215"/>
      <c r="G743" s="107"/>
    </row>
    <row r="744" spans="1:7">
      <c r="A744" s="169"/>
      <c r="B744" s="160"/>
      <c r="C744" s="158"/>
      <c r="D744" s="181"/>
      <c r="E744" s="214"/>
      <c r="F744" s="215"/>
      <c r="G744" s="107"/>
    </row>
    <row r="745" spans="1:7">
      <c r="A745" s="169"/>
      <c r="B745" s="160"/>
      <c r="C745" s="158"/>
      <c r="D745" s="181"/>
      <c r="E745" s="214"/>
      <c r="F745" s="215"/>
      <c r="G745" s="107"/>
    </row>
    <row r="746" spans="1:7">
      <c r="A746" s="169"/>
      <c r="B746" s="160"/>
      <c r="C746" s="158"/>
      <c r="D746" s="181"/>
      <c r="E746" s="214"/>
      <c r="F746" s="215"/>
      <c r="G746" s="107"/>
    </row>
    <row r="747" spans="1:7">
      <c r="A747" s="169"/>
      <c r="B747" s="160"/>
      <c r="C747" s="158"/>
      <c r="D747" s="181"/>
      <c r="E747" s="214"/>
      <c r="F747" s="215"/>
      <c r="G747" s="107"/>
    </row>
    <row r="748" spans="1:7">
      <c r="A748" s="169"/>
      <c r="B748" s="160"/>
      <c r="C748" s="158"/>
      <c r="D748" s="181"/>
      <c r="E748" s="214"/>
      <c r="F748" s="215"/>
      <c r="G748" s="107"/>
    </row>
    <row r="749" spans="1:7">
      <c r="A749" s="169"/>
      <c r="B749" s="160"/>
      <c r="C749" s="158"/>
      <c r="D749" s="181"/>
      <c r="E749" s="214"/>
      <c r="F749" s="215"/>
      <c r="G749" s="107"/>
    </row>
    <row r="750" spans="1:7">
      <c r="A750" s="169"/>
      <c r="B750" s="160"/>
      <c r="C750" s="158"/>
      <c r="D750" s="181"/>
      <c r="E750" s="214"/>
      <c r="F750" s="215"/>
      <c r="G750" s="107"/>
    </row>
    <row r="751" spans="1:7">
      <c r="A751" s="169"/>
      <c r="B751" s="160"/>
      <c r="C751" s="158"/>
      <c r="D751" s="181"/>
      <c r="E751" s="214"/>
      <c r="F751" s="215"/>
      <c r="G751" s="107"/>
    </row>
    <row r="752" spans="1:7">
      <c r="A752" s="171"/>
      <c r="B752" s="160"/>
      <c r="C752" s="173"/>
      <c r="D752" s="176"/>
      <c r="E752" s="226"/>
      <c r="F752" s="227"/>
      <c r="G752" s="103"/>
    </row>
    <row r="753" spans="1:7">
      <c r="A753" s="228"/>
      <c r="B753" s="182">
        <f>Lead!B47</f>
        <v>0</v>
      </c>
      <c r="C753" s="177"/>
      <c r="D753" s="182">
        <f>Lead!K47</f>
        <v>0</v>
      </c>
      <c r="E753" s="172"/>
      <c r="F753" s="141"/>
      <c r="G753" s="229" t="s">
        <v>6</v>
      </c>
    </row>
    <row r="754" spans="1:7">
      <c r="A754" s="230"/>
      <c r="B754" s="231">
        <f>Lead!B48</f>
        <v>0</v>
      </c>
      <c r="C754" s="232"/>
      <c r="D754" s="231">
        <f>Lead!K48</f>
        <v>0</v>
      </c>
      <c r="E754" s="233"/>
      <c r="F754" s="141"/>
      <c r="G754" s="234" t="s">
        <v>7</v>
      </c>
    </row>
    <row r="755" spans="1:7">
      <c r="A755" s="209"/>
      <c r="C755" s="207"/>
    </row>
    <row r="756" spans="1:7">
      <c r="A756" s="209"/>
      <c r="C756" s="207"/>
    </row>
    <row r="757" spans="1:7">
      <c r="A757" s="209"/>
      <c r="C757" s="210"/>
    </row>
    <row r="758" spans="1:7">
      <c r="A758" s="209"/>
      <c r="C758" s="210"/>
    </row>
    <row r="759" spans="1:7">
      <c r="A759" s="209"/>
      <c r="C759" s="207"/>
    </row>
    <row r="760" spans="1:7">
      <c r="A760" s="209"/>
      <c r="C760" s="207"/>
    </row>
    <row r="761" spans="1:7">
      <c r="A761" s="209"/>
      <c r="C761" s="207"/>
    </row>
    <row r="762" spans="1:7">
      <c r="A762" s="209"/>
      <c r="C762" s="207"/>
    </row>
    <row r="763" spans="1:7">
      <c r="A763" s="209"/>
      <c r="C763" s="207"/>
    </row>
    <row r="764" spans="1:7">
      <c r="A764" s="209"/>
      <c r="C764" s="207"/>
    </row>
    <row r="765" spans="1:7">
      <c r="A765" s="209"/>
      <c r="C765" s="207"/>
    </row>
    <row r="766" spans="1:7">
      <c r="A766" s="209"/>
      <c r="C766" s="207"/>
    </row>
    <row r="767" spans="1:7">
      <c r="A767" s="209"/>
      <c r="C767" s="207"/>
    </row>
    <row r="768" spans="1:7">
      <c r="A768" s="209"/>
      <c r="C768" s="207"/>
    </row>
    <row r="769" spans="1:3">
      <c r="A769" s="209"/>
      <c r="C769" s="207"/>
    </row>
    <row r="770" spans="1:3">
      <c r="A770" s="209"/>
      <c r="C770" s="207"/>
    </row>
    <row r="771" spans="1:3">
      <c r="A771" s="209"/>
      <c r="C771" s="207"/>
    </row>
    <row r="772" spans="1:3">
      <c r="A772" s="209"/>
      <c r="C772" s="207"/>
    </row>
    <row r="773" spans="1:3">
      <c r="A773" s="209"/>
      <c r="C773" s="207"/>
    </row>
    <row r="774" spans="1:3">
      <c r="A774" s="209"/>
      <c r="C774" s="207"/>
    </row>
    <row r="775" spans="1:3">
      <c r="A775" s="209"/>
      <c r="C775" s="207"/>
    </row>
    <row r="776" spans="1:3">
      <c r="A776" s="209"/>
      <c r="C776" s="207"/>
    </row>
    <row r="777" spans="1:3">
      <c r="A777" s="209"/>
      <c r="C777" s="207"/>
    </row>
    <row r="778" spans="1:3">
      <c r="A778" s="209"/>
      <c r="C778" s="207"/>
    </row>
    <row r="779" spans="1:3">
      <c r="A779" s="209"/>
      <c r="C779" s="207"/>
    </row>
  </sheetData>
  <mergeCells count="3">
    <mergeCell ref="A1:G1"/>
    <mergeCell ref="A2:G2"/>
    <mergeCell ref="A3:G3"/>
  </mergeCells>
  <printOptions horizontalCentered="1"/>
  <pageMargins left="0.25" right="0.1" top="0.28000000000000003" bottom="0.4" header="0.23622047244094499" footer="0.15748031496063"/>
  <pageSetup paperSize="9" orientation="portrait" r:id="rId1"/>
  <headerFooter alignWithMargins="0">
    <oddHeader>Page &amp;P</oddHeader>
    <oddFooter>&amp;CUGD DATA 2014-15</oddFooter>
  </headerFooter>
</worksheet>
</file>

<file path=xl/worksheets/sheet4.xml><?xml version="1.0" encoding="utf-8"?>
<worksheet xmlns="http://schemas.openxmlformats.org/spreadsheetml/2006/main" xmlns:r="http://schemas.openxmlformats.org/officeDocument/2006/relationships">
  <dimension ref="A2:I45"/>
  <sheetViews>
    <sheetView view="pageBreakPreview" zoomScale="60" workbookViewId="0">
      <selection activeCell="E37" sqref="E37"/>
    </sheetView>
  </sheetViews>
  <sheetFormatPr defaultRowHeight="12.75"/>
  <cols>
    <col min="8" max="8" width="10.42578125" customWidth="1"/>
    <col min="9" max="9" width="12.85546875" customWidth="1"/>
  </cols>
  <sheetData>
    <row r="2" spans="1:9">
      <c r="A2" s="7"/>
      <c r="B2" s="8"/>
      <c r="C2" s="8"/>
      <c r="D2" s="8"/>
      <c r="E2" s="8"/>
      <c r="F2" s="8"/>
      <c r="G2" s="8"/>
      <c r="H2" s="8"/>
      <c r="I2" s="9"/>
    </row>
    <row r="3" spans="1:9">
      <c r="A3" s="10"/>
      <c r="B3" s="11"/>
      <c r="C3" s="11"/>
      <c r="D3" s="11"/>
      <c r="E3" s="11"/>
      <c r="F3" s="11"/>
      <c r="G3" s="11"/>
      <c r="H3" s="11"/>
      <c r="I3" s="12"/>
    </row>
    <row r="4" spans="1:9">
      <c r="A4" s="10"/>
      <c r="B4" s="11"/>
      <c r="C4" s="11"/>
      <c r="D4" s="11"/>
      <c r="E4" s="11"/>
      <c r="F4" s="11"/>
      <c r="G4" s="11"/>
      <c r="H4" s="11"/>
      <c r="I4" s="12"/>
    </row>
    <row r="5" spans="1:9" ht="18">
      <c r="A5" s="10"/>
      <c r="B5" s="1461" t="s">
        <v>288</v>
      </c>
      <c r="C5" s="1461"/>
      <c r="D5" s="1461"/>
      <c r="E5" s="1461"/>
      <c r="F5" s="1461"/>
      <c r="G5" s="1461"/>
      <c r="H5" s="1461"/>
      <c r="I5" s="12"/>
    </row>
    <row r="6" spans="1:9">
      <c r="A6" s="10"/>
      <c r="B6" s="6"/>
      <c r="C6" s="6"/>
      <c r="D6" s="6"/>
      <c r="E6" s="1"/>
      <c r="F6" s="1"/>
      <c r="G6" s="1"/>
      <c r="H6" s="1"/>
      <c r="I6" s="12"/>
    </row>
    <row r="7" spans="1:9">
      <c r="A7" s="10"/>
      <c r="B7" s="6"/>
      <c r="C7" s="6"/>
      <c r="D7" s="6"/>
      <c r="E7" s="1"/>
      <c r="F7" s="1"/>
      <c r="G7" s="1"/>
      <c r="H7" s="1"/>
      <c r="I7" s="12"/>
    </row>
    <row r="8" spans="1:9">
      <c r="A8" s="10"/>
      <c r="B8" s="6"/>
      <c r="C8" s="6"/>
      <c r="D8" s="6"/>
      <c r="E8" s="1"/>
      <c r="F8" s="1"/>
      <c r="G8" s="1"/>
      <c r="H8" s="1"/>
      <c r="I8" s="12"/>
    </row>
    <row r="9" spans="1:9" ht="15.75">
      <c r="A9" s="10"/>
      <c r="B9" s="1462" t="s">
        <v>289</v>
      </c>
      <c r="C9" s="1462"/>
      <c r="D9" s="1462"/>
      <c r="E9" s="1462"/>
      <c r="F9" s="1462"/>
      <c r="G9" s="1462"/>
      <c r="H9" s="1462"/>
      <c r="I9" s="12"/>
    </row>
    <row r="10" spans="1:9">
      <c r="A10" s="10"/>
      <c r="B10" s="6"/>
      <c r="C10" s="6"/>
      <c r="D10" s="6"/>
      <c r="E10" s="1"/>
      <c r="F10" s="1"/>
      <c r="G10" s="1"/>
      <c r="H10" s="1"/>
      <c r="I10" s="12"/>
    </row>
    <row r="11" spans="1:9">
      <c r="A11" s="10"/>
      <c r="B11" s="6"/>
      <c r="C11" s="6"/>
      <c r="D11" s="6"/>
      <c r="E11" s="1"/>
      <c r="F11" s="1"/>
      <c r="G11" s="1"/>
      <c r="H11" s="1"/>
      <c r="I11" s="12"/>
    </row>
    <row r="12" spans="1:9" ht="18.75">
      <c r="A12" s="10"/>
      <c r="B12" s="1449" t="s">
        <v>110</v>
      </c>
      <c r="C12" s="1449"/>
      <c r="D12" s="1449"/>
      <c r="E12" s="1449"/>
      <c r="F12" s="1449"/>
      <c r="G12" s="1449"/>
      <c r="H12" s="1449"/>
      <c r="I12" s="12"/>
    </row>
    <row r="13" spans="1:9">
      <c r="A13" s="10"/>
      <c r="B13" s="6"/>
      <c r="C13" s="6"/>
      <c r="D13" s="6"/>
      <c r="E13" s="1"/>
      <c r="F13" s="1"/>
      <c r="G13" s="1"/>
      <c r="H13" s="1"/>
      <c r="I13" s="12"/>
    </row>
    <row r="14" spans="1:9">
      <c r="A14" s="10"/>
      <c r="B14" s="6"/>
      <c r="C14" s="6"/>
      <c r="D14" s="6"/>
      <c r="E14" s="1"/>
      <c r="F14" s="1"/>
      <c r="G14" s="1"/>
      <c r="H14" s="1"/>
      <c r="I14" s="12"/>
    </row>
    <row r="15" spans="1:9">
      <c r="A15" s="10"/>
      <c r="B15" s="6"/>
      <c r="C15" s="6"/>
      <c r="D15" s="6"/>
      <c r="E15" s="1"/>
      <c r="F15" s="1"/>
      <c r="G15" s="1"/>
      <c r="H15" s="1"/>
      <c r="I15" s="12"/>
    </row>
    <row r="16" spans="1:9">
      <c r="A16" s="10"/>
      <c r="B16" s="6"/>
      <c r="C16" s="6"/>
      <c r="D16" s="6"/>
      <c r="E16" s="1"/>
      <c r="F16" s="1"/>
      <c r="G16" s="1"/>
      <c r="H16" s="1"/>
      <c r="I16" s="12"/>
    </row>
    <row r="17" spans="1:9">
      <c r="A17" s="10"/>
      <c r="B17" s="6"/>
      <c r="C17" s="6"/>
      <c r="D17" s="6"/>
      <c r="E17" s="1"/>
      <c r="F17" s="1"/>
      <c r="G17" s="1"/>
      <c r="H17" s="1"/>
      <c r="I17" s="12"/>
    </row>
    <row r="18" spans="1:9">
      <c r="A18" s="10"/>
      <c r="B18" s="6"/>
      <c r="C18" s="6"/>
      <c r="D18" s="6"/>
      <c r="E18" s="1"/>
      <c r="F18" s="1"/>
      <c r="G18" s="1"/>
      <c r="H18" s="1"/>
      <c r="I18" s="12"/>
    </row>
    <row r="19" spans="1:9">
      <c r="A19" s="10"/>
      <c r="B19" s="6"/>
      <c r="C19" s="6"/>
      <c r="D19" s="6"/>
      <c r="E19" s="1"/>
      <c r="F19" s="1"/>
      <c r="G19" s="1"/>
      <c r="H19" s="1"/>
      <c r="I19" s="12"/>
    </row>
    <row r="20" spans="1:9">
      <c r="A20" s="10"/>
      <c r="B20" s="6"/>
      <c r="C20" s="6"/>
      <c r="D20" s="6"/>
      <c r="E20" s="1"/>
      <c r="F20" s="1"/>
      <c r="G20" s="1"/>
      <c r="H20" s="1"/>
      <c r="I20" s="12"/>
    </row>
    <row r="21" spans="1:9">
      <c r="A21" s="10"/>
      <c r="B21" s="6"/>
      <c r="C21" s="6"/>
      <c r="D21" s="6"/>
      <c r="E21" s="1"/>
      <c r="F21" s="1"/>
      <c r="G21" s="1"/>
      <c r="H21" s="1"/>
      <c r="I21" s="12"/>
    </row>
    <row r="22" spans="1:9">
      <c r="A22" s="10"/>
      <c r="B22" s="6"/>
      <c r="C22" s="6"/>
      <c r="D22" s="6"/>
      <c r="E22" s="1"/>
      <c r="F22" s="1"/>
      <c r="G22" s="1"/>
      <c r="H22" s="1"/>
      <c r="I22" s="12"/>
    </row>
    <row r="23" spans="1:9">
      <c r="A23" s="10"/>
      <c r="B23" s="6"/>
      <c r="C23" s="6"/>
      <c r="D23" s="6"/>
      <c r="E23" s="1"/>
      <c r="F23" s="1"/>
      <c r="G23" s="1"/>
      <c r="H23" s="1"/>
      <c r="I23" s="12"/>
    </row>
    <row r="24" spans="1:9">
      <c r="A24" s="10"/>
      <c r="B24" s="6"/>
      <c r="C24" s="6"/>
      <c r="D24" s="6"/>
      <c r="E24" s="1"/>
      <c r="F24" s="1"/>
      <c r="G24" s="1"/>
      <c r="H24" s="1"/>
      <c r="I24" s="12"/>
    </row>
    <row r="25" spans="1:9" ht="75" customHeight="1">
      <c r="A25" s="10"/>
      <c r="B25" s="1463" t="str">
        <f>Lead!A1</f>
        <v>Providing UGD system in Kokapet</v>
      </c>
      <c r="C25" s="1463"/>
      <c r="D25" s="1463"/>
      <c r="E25" s="1463"/>
      <c r="F25" s="1463"/>
      <c r="G25" s="1463"/>
      <c r="H25" s="1463"/>
      <c r="I25" s="16"/>
    </row>
    <row r="26" spans="1:9" ht="15.75" customHeight="1">
      <c r="A26" s="10"/>
      <c r="B26" s="1460">
        <f>Lead!J2</f>
        <v>0</v>
      </c>
      <c r="C26" s="1460"/>
      <c r="D26" s="1460"/>
      <c r="E26" s="1460"/>
      <c r="F26" s="1460"/>
      <c r="G26" s="1460"/>
      <c r="H26" s="1460"/>
      <c r="I26" s="16"/>
    </row>
    <row r="27" spans="1:9">
      <c r="A27" s="10"/>
      <c r="B27" s="11"/>
      <c r="C27" s="11"/>
      <c r="D27" s="11"/>
      <c r="E27" s="11"/>
      <c r="F27" s="11"/>
      <c r="G27" s="11"/>
      <c r="H27" s="11"/>
      <c r="I27" s="12"/>
    </row>
    <row r="28" spans="1:9" s="20" customFormat="1" ht="16.5">
      <c r="A28" s="17"/>
      <c r="B28" s="18"/>
      <c r="C28" s="18"/>
      <c r="D28" s="18"/>
      <c r="E28" s="18"/>
      <c r="F28" s="18"/>
      <c r="G28" s="18"/>
      <c r="H28" s="18"/>
      <c r="I28" s="19"/>
    </row>
    <row r="29" spans="1:9" s="20" customFormat="1" ht="16.5">
      <c r="A29" s="17"/>
      <c r="B29" s="18"/>
      <c r="C29" s="18"/>
      <c r="D29" s="18"/>
      <c r="E29" s="18"/>
      <c r="F29" s="18"/>
      <c r="G29" s="18"/>
      <c r="H29" s="18"/>
      <c r="I29" s="19"/>
    </row>
    <row r="30" spans="1:9" s="20" customFormat="1" ht="16.5">
      <c r="A30" s="17"/>
      <c r="B30" s="18"/>
      <c r="C30" s="18"/>
      <c r="E30" s="23" t="s">
        <v>34</v>
      </c>
      <c r="F30" s="38" t="s">
        <v>135</v>
      </c>
      <c r="G30" s="21" t="s">
        <v>81</v>
      </c>
      <c r="H30" s="18"/>
      <c r="I30" s="19"/>
    </row>
    <row r="31" spans="1:9" s="20" customFormat="1" ht="16.5">
      <c r="A31" s="17"/>
      <c r="B31" s="1460"/>
      <c r="C31" s="1460"/>
      <c r="D31" s="1460"/>
      <c r="E31" s="1460"/>
      <c r="F31" s="1460"/>
      <c r="G31" s="1460"/>
      <c r="H31" s="1460"/>
      <c r="I31" s="19"/>
    </row>
    <row r="32" spans="1:9" s="20" customFormat="1" ht="16.5">
      <c r="A32" s="17"/>
      <c r="B32" s="18"/>
      <c r="C32" s="18"/>
      <c r="D32" s="18"/>
      <c r="E32" s="18"/>
      <c r="F32" s="18"/>
      <c r="G32" s="18"/>
      <c r="H32" s="18"/>
      <c r="I32" s="19"/>
    </row>
    <row r="33" spans="1:9" s="20" customFormat="1" ht="16.5">
      <c r="A33" s="17"/>
      <c r="B33" s="18"/>
      <c r="C33" s="18"/>
      <c r="D33" s="18"/>
      <c r="E33" s="18"/>
      <c r="F33" s="18"/>
      <c r="G33" s="18"/>
      <c r="H33" s="18"/>
      <c r="I33" s="19"/>
    </row>
    <row r="34" spans="1:9" s="20" customFormat="1" ht="16.5">
      <c r="A34" s="17"/>
      <c r="B34" s="18"/>
      <c r="C34" s="18"/>
      <c r="D34" s="22"/>
      <c r="E34" s="24"/>
      <c r="F34" s="21"/>
      <c r="G34" s="18"/>
      <c r="H34" s="18"/>
      <c r="I34" s="19"/>
    </row>
    <row r="35" spans="1:9" s="20" customFormat="1" ht="16.5">
      <c r="A35" s="17"/>
      <c r="B35" s="18"/>
      <c r="C35" s="22"/>
      <c r="D35" s="18"/>
      <c r="E35" s="21"/>
      <c r="F35" s="18"/>
      <c r="G35" s="18"/>
      <c r="H35" s="18"/>
      <c r="I35" s="19"/>
    </row>
    <row r="36" spans="1:9" s="20" customFormat="1" ht="16.5">
      <c r="A36" s="17"/>
      <c r="B36" s="18"/>
      <c r="C36" s="22"/>
      <c r="D36" s="18"/>
      <c r="E36" s="21"/>
      <c r="F36" s="18"/>
      <c r="G36" s="18"/>
      <c r="H36" s="18"/>
      <c r="I36" s="19"/>
    </row>
    <row r="37" spans="1:9" s="20" customFormat="1" ht="16.5">
      <c r="A37" s="17"/>
      <c r="B37" s="18"/>
      <c r="C37" s="22"/>
      <c r="D37" s="22" t="s">
        <v>94</v>
      </c>
      <c r="E37" s="21"/>
      <c r="G37" s="18"/>
      <c r="H37" s="18"/>
      <c r="I37" s="19"/>
    </row>
    <row r="38" spans="1:9" s="20" customFormat="1" ht="16.5">
      <c r="A38" s="17"/>
      <c r="B38" s="18"/>
      <c r="C38" s="22"/>
      <c r="D38" s="18"/>
      <c r="E38" s="21"/>
      <c r="G38" s="18"/>
      <c r="H38" s="18"/>
      <c r="I38" s="19"/>
    </row>
    <row r="39" spans="1:9" s="20" customFormat="1" ht="16.5">
      <c r="A39" s="17"/>
      <c r="B39" s="18"/>
      <c r="C39" s="22"/>
      <c r="D39" s="18"/>
      <c r="E39" s="21"/>
      <c r="G39" s="18"/>
      <c r="H39" s="18"/>
      <c r="I39" s="19"/>
    </row>
    <row r="40" spans="1:9" s="20" customFormat="1" ht="16.5">
      <c r="A40" s="17"/>
      <c r="B40" s="18"/>
      <c r="C40" s="22"/>
      <c r="D40" s="22" t="s">
        <v>95</v>
      </c>
      <c r="E40" s="21">
        <f>Lead!B48</f>
        <v>0</v>
      </c>
      <c r="G40" s="18"/>
      <c r="H40" s="18"/>
      <c r="I40" s="19"/>
    </row>
    <row r="41" spans="1:9" s="20" customFormat="1" ht="16.5">
      <c r="A41" s="17"/>
      <c r="B41" s="18"/>
      <c r="C41" s="18"/>
      <c r="D41" s="18"/>
      <c r="E41" s="21"/>
      <c r="G41" s="18"/>
      <c r="H41" s="18"/>
      <c r="I41" s="19"/>
    </row>
    <row r="42" spans="1:9" s="20" customFormat="1" ht="16.5">
      <c r="A42" s="17"/>
      <c r="B42" s="18"/>
      <c r="C42" s="18"/>
      <c r="D42" s="18"/>
      <c r="E42" s="21"/>
      <c r="G42" s="18"/>
      <c r="H42" s="18"/>
      <c r="I42" s="19"/>
    </row>
    <row r="43" spans="1:9" s="20" customFormat="1" ht="16.5">
      <c r="A43" s="17"/>
      <c r="B43" s="18"/>
      <c r="C43" s="18"/>
      <c r="D43" s="18"/>
      <c r="E43" s="18"/>
      <c r="F43" s="18"/>
      <c r="G43" s="18"/>
      <c r="H43" s="18"/>
      <c r="I43" s="19"/>
    </row>
    <row r="44" spans="1:9">
      <c r="A44" s="10"/>
      <c r="B44" s="11"/>
      <c r="C44" s="11"/>
      <c r="D44" s="11"/>
      <c r="E44" s="11"/>
      <c r="F44" s="11"/>
      <c r="G44" s="11"/>
      <c r="H44" s="11"/>
      <c r="I44" s="12"/>
    </row>
    <row r="45" spans="1:9">
      <c r="A45" s="13"/>
      <c r="B45" s="14"/>
      <c r="C45" s="14"/>
      <c r="D45" s="14"/>
      <c r="E45" s="14"/>
      <c r="F45" s="14"/>
      <c r="G45" s="14"/>
      <c r="H45" s="14"/>
      <c r="I45" s="15"/>
    </row>
  </sheetData>
  <mergeCells count="6">
    <mergeCell ref="B31:H31"/>
    <mergeCell ref="B26:H26"/>
    <mergeCell ref="B5:H5"/>
    <mergeCell ref="B9:H9"/>
    <mergeCell ref="B12:H12"/>
    <mergeCell ref="B25:H25"/>
  </mergeCells>
  <phoneticPr fontId="9" type="noConversion"/>
  <printOptions horizontalCentered="1"/>
  <pageMargins left="0.75" right="0.75" top="0.72" bottom="1" header="0.5" footer="0.5"/>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dimension ref="A1:I131"/>
  <sheetViews>
    <sheetView zoomScale="112" zoomScaleNormal="112" zoomScaleSheetLayoutView="75" workbookViewId="0">
      <pane ySplit="5" topLeftCell="A117" activePane="bottomLeft" state="frozen"/>
      <selection pane="bottomLeft" activeCell="G60" sqref="G60"/>
    </sheetView>
  </sheetViews>
  <sheetFormatPr defaultColWidth="13.85546875" defaultRowHeight="12.75"/>
  <cols>
    <col min="1" max="1" width="12.85546875" style="208" customWidth="1"/>
    <col min="2" max="2" width="5.28515625" style="140" customWidth="1"/>
    <col min="3" max="3" width="42.5703125" style="211" customWidth="1"/>
    <col min="4" max="4" width="5.28515625" style="207" customWidth="1"/>
    <col min="5" max="5" width="10.5703125" style="138" customWidth="1"/>
    <col min="6" max="6" width="9.140625" style="122" customWidth="1"/>
    <col min="7" max="8" width="11.7109375" style="122" customWidth="1"/>
    <col min="9" max="16384" width="13.85546875" style="141"/>
  </cols>
  <sheetData>
    <row r="1" spans="1:9" ht="12.75" customHeight="1">
      <c r="A1" s="1457" t="s">
        <v>173</v>
      </c>
      <c r="B1" s="1457"/>
      <c r="C1" s="1457"/>
      <c r="D1" s="1457"/>
      <c r="E1" s="1457"/>
      <c r="F1" s="1457"/>
      <c r="G1" s="1457"/>
      <c r="H1" s="1464"/>
      <c r="I1" s="1464"/>
    </row>
    <row r="2" spans="1:9" ht="36" customHeight="1">
      <c r="A2" s="1458" t="str">
        <f>Lead!A1</f>
        <v>Providing UGD system in Kokapet</v>
      </c>
      <c r="B2" s="1458"/>
      <c r="C2" s="1458"/>
      <c r="D2" s="1458"/>
      <c r="E2" s="1458"/>
      <c r="F2" s="1458"/>
      <c r="G2" s="1458"/>
      <c r="H2" s="1464"/>
      <c r="I2" s="1464"/>
    </row>
    <row r="3" spans="1:9" ht="18" customHeight="1">
      <c r="A3" s="1465" t="s">
        <v>434</v>
      </c>
      <c r="B3" s="1465"/>
      <c r="C3" s="1465"/>
      <c r="D3" s="1465"/>
      <c r="E3" s="1465"/>
      <c r="F3" s="1465"/>
      <c r="G3" s="1465"/>
      <c r="H3" s="1466"/>
      <c r="I3" s="1466"/>
    </row>
    <row r="4" spans="1:9" s="142" customFormat="1" ht="22.5" customHeight="1">
      <c r="A4" s="242" t="s">
        <v>45</v>
      </c>
      <c r="B4" s="243" t="s">
        <v>46</v>
      </c>
      <c r="C4" s="242" t="s">
        <v>100</v>
      </c>
      <c r="D4" s="242" t="s">
        <v>9</v>
      </c>
      <c r="E4" s="244" t="s">
        <v>97</v>
      </c>
      <c r="F4" s="245" t="s">
        <v>47</v>
      </c>
      <c r="G4" s="245" t="s">
        <v>48</v>
      </c>
      <c r="H4" s="245" t="s">
        <v>47</v>
      </c>
      <c r="I4" s="245" t="s">
        <v>48</v>
      </c>
    </row>
    <row r="5" spans="1:9" s="143" customFormat="1" ht="11.25" customHeight="1">
      <c r="A5" s="246"/>
      <c r="B5" s="247">
        <v>1</v>
      </c>
      <c r="C5" s="247">
        <v>2</v>
      </c>
      <c r="D5" s="247">
        <v>3</v>
      </c>
      <c r="E5" s="247">
        <v>4</v>
      </c>
      <c r="F5" s="248">
        <v>5</v>
      </c>
      <c r="G5" s="248">
        <v>6</v>
      </c>
      <c r="H5" s="281"/>
    </row>
    <row r="6" spans="1:9" ht="86.25" customHeight="1">
      <c r="A6" s="180" t="s">
        <v>239</v>
      </c>
      <c r="B6" s="145">
        <v>1</v>
      </c>
      <c r="C6" s="149" t="s">
        <v>240</v>
      </c>
      <c r="D6" s="181"/>
      <c r="E6" s="127"/>
      <c r="F6" s="88"/>
      <c r="G6" s="279" t="s">
        <v>431</v>
      </c>
      <c r="H6" s="279"/>
      <c r="I6" s="280" t="s">
        <v>432</v>
      </c>
    </row>
    <row r="7" spans="1:9" hidden="1">
      <c r="A7" s="169"/>
      <c r="B7" s="160"/>
      <c r="C7" s="149" t="s">
        <v>241</v>
      </c>
      <c r="D7" s="182"/>
      <c r="E7" s="127"/>
      <c r="F7" s="88"/>
      <c r="G7" s="100"/>
      <c r="H7" s="100"/>
      <c r="I7" s="100"/>
    </row>
    <row r="8" spans="1:9" hidden="1">
      <c r="A8" s="169"/>
      <c r="B8" s="160" t="s">
        <v>291</v>
      </c>
      <c r="C8" s="146" t="s">
        <v>258</v>
      </c>
      <c r="D8" s="181"/>
      <c r="E8" s="127"/>
      <c r="F8" s="88"/>
      <c r="G8" s="100"/>
      <c r="H8" s="100"/>
      <c r="I8" s="100"/>
    </row>
    <row r="9" spans="1:9" hidden="1">
      <c r="A9" s="169"/>
      <c r="B9" s="160"/>
      <c r="C9" s="146" t="s">
        <v>242</v>
      </c>
      <c r="D9" s="181"/>
      <c r="E9" s="127"/>
      <c r="F9" s="88"/>
      <c r="G9" s="100"/>
      <c r="H9" s="100"/>
      <c r="I9" s="100"/>
    </row>
    <row r="10" spans="1:9" ht="15" hidden="1">
      <c r="A10" s="169"/>
      <c r="B10" s="160"/>
      <c r="C10" s="149" t="s">
        <v>345</v>
      </c>
      <c r="D10" s="181" t="s">
        <v>18</v>
      </c>
      <c r="E10" s="127">
        <v>1.62</v>
      </c>
      <c r="F10" s="88">
        <f>Lead!R26</f>
        <v>0</v>
      </c>
      <c r="G10" s="90">
        <f>ROUND(E10*F10,2)</f>
        <v>0</v>
      </c>
      <c r="H10" s="88"/>
      <c r="I10" s="90"/>
    </row>
    <row r="11" spans="1:9" ht="15" hidden="1">
      <c r="A11" s="169"/>
      <c r="B11" s="160"/>
      <c r="C11" s="149" t="s">
        <v>347</v>
      </c>
      <c r="D11" s="181" t="s">
        <v>18</v>
      </c>
      <c r="E11" s="127">
        <v>3.78</v>
      </c>
      <c r="F11" s="88">
        <f>Lead!R27</f>
        <v>0</v>
      </c>
      <c r="G11" s="90">
        <f>ROUND(E11*F11,2)</f>
        <v>0</v>
      </c>
      <c r="H11" s="88"/>
      <c r="I11" s="90"/>
    </row>
    <row r="12" spans="1:9" hidden="1">
      <c r="A12" s="169"/>
      <c r="B12" s="160"/>
      <c r="C12" s="149" t="s">
        <v>243</v>
      </c>
      <c r="D12" s="181" t="s">
        <v>18</v>
      </c>
      <c r="E12" s="127">
        <v>10.5</v>
      </c>
      <c r="F12" s="88">
        <f>Lead!R24</f>
        <v>445</v>
      </c>
      <c r="G12" s="90">
        <f>ROUND(E12*F12,2)</f>
        <v>4672.5</v>
      </c>
      <c r="H12" s="88"/>
      <c r="I12" s="90"/>
    </row>
    <row r="13" spans="1:9" hidden="1">
      <c r="A13" s="169"/>
      <c r="B13" s="160"/>
      <c r="C13" s="149" t="s">
        <v>244</v>
      </c>
      <c r="D13" s="181" t="s">
        <v>18</v>
      </c>
      <c r="E13" s="127">
        <v>2.2999999999999998</v>
      </c>
      <c r="F13" s="88">
        <f>Lead!R25</f>
        <v>0</v>
      </c>
      <c r="G13" s="90">
        <f>ROUND(E13*F13,2)</f>
        <v>0</v>
      </c>
      <c r="H13" s="88"/>
      <c r="I13" s="90"/>
    </row>
    <row r="14" spans="1:9" hidden="1">
      <c r="A14" s="169"/>
      <c r="B14" s="160"/>
      <c r="C14" s="153" t="s">
        <v>315</v>
      </c>
      <c r="D14" s="125"/>
      <c r="E14" s="125">
        <f>Lead!$Q$26</f>
        <v>0.4</v>
      </c>
      <c r="F14" s="91">
        <f>SUM(G10:G13)</f>
        <v>4672.5</v>
      </c>
      <c r="G14" s="92">
        <f>ROUND(F14*E14,2)</f>
        <v>1869</v>
      </c>
      <c r="H14" s="91"/>
      <c r="I14" s="92"/>
    </row>
    <row r="15" spans="1:9" hidden="1">
      <c r="A15" s="169"/>
      <c r="B15" s="160"/>
      <c r="C15" s="146" t="s">
        <v>245</v>
      </c>
      <c r="D15" s="181"/>
      <c r="E15" s="127"/>
      <c r="F15" s="88"/>
      <c r="G15" s="90"/>
      <c r="H15" s="88"/>
      <c r="I15" s="90"/>
    </row>
    <row r="16" spans="1:9" hidden="1">
      <c r="A16" s="169"/>
      <c r="B16" s="160"/>
      <c r="C16" s="149" t="s">
        <v>246</v>
      </c>
      <c r="D16" s="181" t="s">
        <v>247</v>
      </c>
      <c r="E16" s="127">
        <v>50</v>
      </c>
      <c r="F16" s="88">
        <v>83</v>
      </c>
      <c r="G16" s="90">
        <f>ROUND(E16*F16,2)</f>
        <v>4150</v>
      </c>
      <c r="H16" s="88"/>
      <c r="I16" s="90"/>
    </row>
    <row r="17" spans="1:9" hidden="1">
      <c r="A17" s="169"/>
      <c r="B17" s="160"/>
      <c r="C17" s="146" t="s">
        <v>248</v>
      </c>
      <c r="D17" s="181"/>
      <c r="E17" s="127"/>
      <c r="F17" s="88"/>
      <c r="G17" s="93"/>
      <c r="H17" s="88"/>
      <c r="I17" s="93"/>
    </row>
    <row r="18" spans="1:9" ht="87" hidden="1" customHeight="1">
      <c r="A18" s="169"/>
      <c r="B18" s="160"/>
      <c r="C18" s="149" t="s">
        <v>249</v>
      </c>
      <c r="D18" s="181" t="s">
        <v>250</v>
      </c>
      <c r="E18" s="127">
        <v>100</v>
      </c>
      <c r="F18" s="104">
        <v>10</v>
      </c>
      <c r="G18" s="90"/>
      <c r="H18" s="104"/>
      <c r="I18" s="90"/>
    </row>
    <row r="19" spans="1:9" hidden="1">
      <c r="A19" s="169"/>
      <c r="B19" s="160"/>
      <c r="C19" s="159" t="s">
        <v>251</v>
      </c>
      <c r="D19" s="181"/>
      <c r="E19" s="127"/>
      <c r="F19" s="88"/>
      <c r="G19" s="105">
        <f>SUM(G10:G18)</f>
        <v>10691.5</v>
      </c>
      <c r="H19" s="88"/>
      <c r="I19" s="105"/>
    </row>
    <row r="20" spans="1:9" ht="25.5" hidden="1">
      <c r="A20" s="169"/>
      <c r="B20" s="160"/>
      <c r="C20" s="146" t="s">
        <v>252</v>
      </c>
      <c r="D20" s="181"/>
      <c r="E20" s="127">
        <v>0</v>
      </c>
      <c r="F20" s="106">
        <v>0.01</v>
      </c>
      <c r="G20" s="89">
        <f>ROUND(E20*F20,2)</f>
        <v>0</v>
      </c>
      <c r="H20" s="106"/>
      <c r="I20" s="89"/>
    </row>
    <row r="21" spans="1:9" hidden="1">
      <c r="A21" s="169"/>
      <c r="B21" s="160"/>
      <c r="C21" s="159" t="s">
        <v>253</v>
      </c>
      <c r="D21" s="181"/>
      <c r="E21" s="127"/>
      <c r="F21" s="88"/>
      <c r="G21" s="107">
        <f>SUM(G19:G20)</f>
        <v>10691.5</v>
      </c>
      <c r="H21" s="88"/>
      <c r="I21" s="107"/>
    </row>
    <row r="22" spans="1:9" hidden="1">
      <c r="A22" s="169"/>
      <c r="B22" s="160"/>
      <c r="C22" s="183" t="s">
        <v>254</v>
      </c>
      <c r="D22" s="181"/>
      <c r="E22" s="129">
        <f>G21</f>
        <v>10691.5</v>
      </c>
      <c r="F22" s="273">
        <f>Lead!Q27</f>
        <v>0.13614999999999999</v>
      </c>
      <c r="G22" s="93">
        <f>ROUND(E22*F22,2)</f>
        <v>1455.65</v>
      </c>
      <c r="H22" s="273"/>
      <c r="I22" s="93"/>
    </row>
    <row r="23" spans="1:9" hidden="1">
      <c r="A23" s="169"/>
      <c r="B23" s="160"/>
      <c r="C23" s="158" t="s">
        <v>255</v>
      </c>
      <c r="D23" s="181"/>
      <c r="E23" s="127"/>
      <c r="F23" s="88"/>
      <c r="G23" s="107">
        <f>SUM(G21:G22)</f>
        <v>12147.15</v>
      </c>
      <c r="H23" s="88"/>
      <c r="I23" s="107"/>
    </row>
    <row r="24" spans="1:9" hidden="1">
      <c r="A24" s="169"/>
      <c r="B24" s="160"/>
      <c r="C24" s="159" t="s">
        <v>256</v>
      </c>
      <c r="D24" s="181"/>
      <c r="E24" s="127"/>
      <c r="F24" s="88" t="s">
        <v>154</v>
      </c>
      <c r="G24" s="101">
        <f>G23/100</f>
        <v>121.47149999999999</v>
      </c>
      <c r="H24" s="88"/>
      <c r="I24" s="101"/>
    </row>
    <row r="25" spans="1:9" hidden="1">
      <c r="A25" s="169"/>
      <c r="B25" s="160" t="s">
        <v>292</v>
      </c>
      <c r="C25" s="146" t="s">
        <v>260</v>
      </c>
      <c r="D25" s="181"/>
      <c r="E25" s="127"/>
      <c r="F25" s="88"/>
      <c r="G25" s="100"/>
      <c r="H25" s="88"/>
      <c r="I25" s="100"/>
    </row>
    <row r="26" spans="1:9" hidden="1">
      <c r="A26" s="169"/>
      <c r="B26" s="160"/>
      <c r="C26" s="146" t="s">
        <v>242</v>
      </c>
      <c r="D26" s="181"/>
      <c r="E26" s="127"/>
      <c r="F26" s="88"/>
      <c r="G26" s="100"/>
      <c r="H26" s="88"/>
      <c r="I26" s="100"/>
    </row>
    <row r="27" spans="1:9" ht="15" hidden="1">
      <c r="A27" s="169"/>
      <c r="B27" s="160"/>
      <c r="C27" s="149" t="s">
        <v>345</v>
      </c>
      <c r="D27" s="181" t="s">
        <v>18</v>
      </c>
      <c r="E27" s="127">
        <v>1.75</v>
      </c>
      <c r="F27" s="88">
        <f>Lead!R26</f>
        <v>0</v>
      </c>
      <c r="G27" s="90">
        <f>ROUND(E27*F27,2)</f>
        <v>0</v>
      </c>
      <c r="H27" s="88">
        <f>Lead!R26</f>
        <v>0</v>
      </c>
      <c r="I27" s="90">
        <f>ROUND(H27*E27,2)</f>
        <v>0</v>
      </c>
    </row>
    <row r="28" spans="1:9" ht="15" hidden="1">
      <c r="A28" s="169"/>
      <c r="B28" s="160"/>
      <c r="C28" s="149" t="s">
        <v>347</v>
      </c>
      <c r="D28" s="181" t="s">
        <v>18</v>
      </c>
      <c r="E28" s="127">
        <v>4.1399999999999997</v>
      </c>
      <c r="F28" s="88">
        <f>Lead!R27</f>
        <v>0</v>
      </c>
      <c r="G28" s="90">
        <f>ROUND(E28*F28,2)</f>
        <v>0</v>
      </c>
      <c r="H28" s="88">
        <f>Lead!R27</f>
        <v>0</v>
      </c>
      <c r="I28" s="90">
        <f>ROUND(H28*E28,2)</f>
        <v>0</v>
      </c>
    </row>
    <row r="29" spans="1:9" hidden="1">
      <c r="A29" s="169"/>
      <c r="B29" s="160"/>
      <c r="C29" s="149" t="s">
        <v>243</v>
      </c>
      <c r="D29" s="181" t="s">
        <v>18</v>
      </c>
      <c r="E29" s="127">
        <v>11.6</v>
      </c>
      <c r="F29" s="88">
        <f>Lead!R24</f>
        <v>445</v>
      </c>
      <c r="G29" s="90">
        <f>ROUND(E29*F29,2)</f>
        <v>5162</v>
      </c>
      <c r="H29" s="88">
        <f>Lead!R24</f>
        <v>445</v>
      </c>
      <c r="I29" s="90">
        <f>ROUND(H29*E29,2)</f>
        <v>5162</v>
      </c>
    </row>
    <row r="30" spans="1:9" hidden="1">
      <c r="A30" s="169"/>
      <c r="B30" s="160"/>
      <c r="C30" s="149" t="s">
        <v>244</v>
      </c>
      <c r="D30" s="181" t="s">
        <v>18</v>
      </c>
      <c r="E30" s="127">
        <v>2.2999999999999998</v>
      </c>
      <c r="F30" s="88">
        <f>Lead!R25</f>
        <v>0</v>
      </c>
      <c r="G30" s="90">
        <f>ROUND(E30*F30,2)</f>
        <v>0</v>
      </c>
      <c r="H30" s="88">
        <f>Lead!R25</f>
        <v>0</v>
      </c>
      <c r="I30" s="90">
        <f>ROUND(H30*E30,2)</f>
        <v>0</v>
      </c>
    </row>
    <row r="31" spans="1:9" hidden="1">
      <c r="A31" s="169"/>
      <c r="B31" s="160"/>
      <c r="C31" s="153" t="s">
        <v>315</v>
      </c>
      <c r="D31" s="125"/>
      <c r="E31" s="125">
        <f>Lead!$Q$26</f>
        <v>0.4</v>
      </c>
      <c r="F31" s="91">
        <f>SUM(G27:G30)</f>
        <v>5162</v>
      </c>
      <c r="G31" s="92">
        <f>ROUND(F31*E31,2)</f>
        <v>2064.8000000000002</v>
      </c>
      <c r="H31" s="91">
        <f>SUM(I27:I30)</f>
        <v>5162</v>
      </c>
      <c r="I31" s="92">
        <f>ROUND(E31*SUM(I27:I30),2)</f>
        <v>2064.8000000000002</v>
      </c>
    </row>
    <row r="32" spans="1:9" hidden="1">
      <c r="A32" s="169"/>
      <c r="B32" s="160"/>
      <c r="C32" s="146" t="s">
        <v>245</v>
      </c>
      <c r="D32" s="181"/>
      <c r="E32" s="127"/>
      <c r="F32" s="88"/>
      <c r="G32" s="90"/>
      <c r="H32" s="88"/>
      <c r="I32" s="90"/>
    </row>
    <row r="33" spans="1:9" hidden="1">
      <c r="A33" s="169"/>
      <c r="B33" s="160"/>
      <c r="C33" s="149" t="s">
        <v>246</v>
      </c>
      <c r="D33" s="181" t="s">
        <v>247</v>
      </c>
      <c r="E33" s="127">
        <v>40</v>
      </c>
      <c r="F33" s="88">
        <v>101</v>
      </c>
      <c r="G33" s="90">
        <f>ROUND(E33*F33,2)</f>
        <v>4040</v>
      </c>
      <c r="H33" s="88">
        <v>130</v>
      </c>
      <c r="I33" s="90">
        <f>ROUND(H33*E33,2)</f>
        <v>5200</v>
      </c>
    </row>
    <row r="34" spans="1:9" hidden="1">
      <c r="A34" s="169"/>
      <c r="B34" s="160"/>
      <c r="C34" s="146" t="s">
        <v>248</v>
      </c>
      <c r="D34" s="181"/>
      <c r="E34" s="127"/>
      <c r="F34" s="88"/>
      <c r="G34" s="107"/>
      <c r="H34" s="88"/>
      <c r="I34" s="107"/>
    </row>
    <row r="35" spans="1:9" ht="63.75" hidden="1">
      <c r="A35" s="169"/>
      <c r="B35" s="160"/>
      <c r="C35" s="149" t="s">
        <v>249</v>
      </c>
      <c r="D35" s="181" t="s">
        <v>250</v>
      </c>
      <c r="E35" s="127">
        <v>100</v>
      </c>
      <c r="F35" s="104">
        <v>10</v>
      </c>
      <c r="G35" s="90"/>
      <c r="H35" s="104">
        <v>10</v>
      </c>
      <c r="I35" s="90"/>
    </row>
    <row r="36" spans="1:9" hidden="1">
      <c r="A36" s="169"/>
      <c r="B36" s="160"/>
      <c r="C36" s="159" t="s">
        <v>251</v>
      </c>
      <c r="D36" s="181"/>
      <c r="E36" s="127"/>
      <c r="F36" s="88"/>
      <c r="G36" s="108">
        <f>SUM(G27:G35)</f>
        <v>11266.8</v>
      </c>
      <c r="H36" s="88"/>
      <c r="I36" s="108">
        <f>SUM(I27:I35)</f>
        <v>12426.8</v>
      </c>
    </row>
    <row r="37" spans="1:9" ht="25.5" hidden="1">
      <c r="A37" s="169"/>
      <c r="B37" s="160"/>
      <c r="C37" s="146" t="s">
        <v>252</v>
      </c>
      <c r="D37" s="181"/>
      <c r="E37" s="127"/>
      <c r="F37" s="88">
        <v>0.01</v>
      </c>
      <c r="G37" s="89">
        <f>ROUND(E37*F37,2)</f>
        <v>0</v>
      </c>
      <c r="H37" s="88">
        <v>0.01</v>
      </c>
      <c r="I37" s="89">
        <f>ROUND(H37*E37,2)</f>
        <v>0</v>
      </c>
    </row>
    <row r="38" spans="1:9" hidden="1">
      <c r="A38" s="169"/>
      <c r="B38" s="160"/>
      <c r="C38" s="159" t="s">
        <v>253</v>
      </c>
      <c r="D38" s="181"/>
      <c r="E38" s="127"/>
      <c r="F38" s="88"/>
      <c r="G38" s="107">
        <f>SUM(G36:G37)</f>
        <v>11266.8</v>
      </c>
      <c r="H38" s="88"/>
      <c r="I38" s="107">
        <f>SUM(I36:I37)</f>
        <v>12426.8</v>
      </c>
    </row>
    <row r="39" spans="1:9" hidden="1">
      <c r="A39" s="169"/>
      <c r="B39" s="160"/>
      <c r="C39" s="183" t="s">
        <v>254</v>
      </c>
      <c r="D39" s="181"/>
      <c r="E39" s="130">
        <f>G38</f>
        <v>11266.8</v>
      </c>
      <c r="F39" s="274">
        <f>Lead!Q27</f>
        <v>0.13614999999999999</v>
      </c>
      <c r="G39" s="90">
        <f>ROUND(E39*F39,2)</f>
        <v>1533.97</v>
      </c>
      <c r="H39" s="274">
        <f>Lead!Q27</f>
        <v>0.13614999999999999</v>
      </c>
      <c r="I39" s="90">
        <f>ROUND(H39*I38,2)</f>
        <v>1691.91</v>
      </c>
    </row>
    <row r="40" spans="1:9" hidden="1">
      <c r="A40" s="169"/>
      <c r="B40" s="160"/>
      <c r="C40" s="158" t="s">
        <v>255</v>
      </c>
      <c r="D40" s="181"/>
      <c r="E40" s="127"/>
      <c r="F40" s="88"/>
      <c r="G40" s="107">
        <f>SUM(G38:G39)</f>
        <v>12800.769999999999</v>
      </c>
      <c r="H40" s="88"/>
      <c r="I40" s="107">
        <f>SUM(I38:I39)</f>
        <v>14118.71</v>
      </c>
    </row>
    <row r="41" spans="1:9" hidden="1">
      <c r="A41" s="169"/>
      <c r="B41" s="160"/>
      <c r="C41" s="159" t="s">
        <v>256</v>
      </c>
      <c r="D41" s="181"/>
      <c r="E41" s="127"/>
      <c r="F41" s="88" t="s">
        <v>154</v>
      </c>
      <c r="G41" s="110">
        <f>G40/100</f>
        <v>128.0077</v>
      </c>
      <c r="H41" s="88" t="s">
        <v>433</v>
      </c>
      <c r="I41" s="110">
        <f>I40/100</f>
        <v>141.18709999999999</v>
      </c>
    </row>
    <row r="42" spans="1:9">
      <c r="A42" s="169"/>
      <c r="B42" s="160" t="s">
        <v>293</v>
      </c>
      <c r="C42" s="146" t="s">
        <v>262</v>
      </c>
      <c r="D42" s="181"/>
      <c r="E42" s="127"/>
      <c r="F42" s="88"/>
      <c r="G42" s="100"/>
      <c r="H42" s="88"/>
      <c r="I42" s="100"/>
    </row>
    <row r="43" spans="1:9">
      <c r="A43" s="169"/>
      <c r="B43" s="160"/>
      <c r="C43" s="146" t="s">
        <v>242</v>
      </c>
      <c r="D43" s="181"/>
      <c r="E43" s="127"/>
      <c r="F43" s="88"/>
      <c r="G43" s="100"/>
      <c r="H43" s="88"/>
      <c r="I43" s="100"/>
    </row>
    <row r="44" spans="1:9" ht="15">
      <c r="A44" s="169"/>
      <c r="B44" s="160"/>
      <c r="C44" s="149" t="s">
        <v>345</v>
      </c>
      <c r="D44" s="181" t="s">
        <v>18</v>
      </c>
      <c r="E44" s="127">
        <v>1.9</v>
      </c>
      <c r="F44" s="88">
        <f>Lead!R26</f>
        <v>0</v>
      </c>
      <c r="G44" s="90">
        <f>ROUND(E44*F44,2)</f>
        <v>0</v>
      </c>
      <c r="H44" s="88">
        <f>Lead!R26</f>
        <v>0</v>
      </c>
      <c r="I44" s="90">
        <f>ROUND(H44*E44,2)</f>
        <v>0</v>
      </c>
    </row>
    <row r="45" spans="1:9" ht="15">
      <c r="A45" s="169"/>
      <c r="B45" s="160"/>
      <c r="C45" s="149" t="s">
        <v>347</v>
      </c>
      <c r="D45" s="181" t="s">
        <v>18</v>
      </c>
      <c r="E45" s="127">
        <v>4.5</v>
      </c>
      <c r="F45" s="88">
        <f>Lead!R27</f>
        <v>0</v>
      </c>
      <c r="G45" s="90">
        <f>ROUND(E45*F45,2)</f>
        <v>0</v>
      </c>
      <c r="H45" s="88">
        <f>Lead!R27</f>
        <v>0</v>
      </c>
      <c r="I45" s="90">
        <f>ROUND(H45*E45,2)</f>
        <v>0</v>
      </c>
    </row>
    <row r="46" spans="1:9">
      <c r="A46" s="169"/>
      <c r="B46" s="160"/>
      <c r="C46" s="149" t="s">
        <v>243</v>
      </c>
      <c r="D46" s="181" t="s">
        <v>18</v>
      </c>
      <c r="E46" s="127">
        <v>12.7</v>
      </c>
      <c r="F46" s="88">
        <f>Lead!R24</f>
        <v>445</v>
      </c>
      <c r="G46" s="90">
        <f>ROUND(E46*F46,2)</f>
        <v>5651.5</v>
      </c>
      <c r="H46" s="88">
        <f>Lead!R24</f>
        <v>445</v>
      </c>
      <c r="I46" s="90">
        <f>ROUND(H46*E46,2)</f>
        <v>5651.5</v>
      </c>
    </row>
    <row r="47" spans="1:9">
      <c r="A47" s="169"/>
      <c r="B47" s="160"/>
      <c r="C47" s="149" t="s">
        <v>244</v>
      </c>
      <c r="D47" s="181" t="s">
        <v>18</v>
      </c>
      <c r="E47" s="127">
        <v>2.4</v>
      </c>
      <c r="F47" s="88">
        <f>Lead!R25</f>
        <v>0</v>
      </c>
      <c r="G47" s="90">
        <f>ROUND(E47*F47,2)</f>
        <v>0</v>
      </c>
      <c r="H47" s="88">
        <f>Lead!R25</f>
        <v>0</v>
      </c>
      <c r="I47" s="90">
        <f>ROUND(H47*E47,2)</f>
        <v>0</v>
      </c>
    </row>
    <row r="48" spans="1:9">
      <c r="A48" s="169"/>
      <c r="B48" s="160"/>
      <c r="C48" s="153" t="s">
        <v>315</v>
      </c>
      <c r="D48" s="125"/>
      <c r="E48" s="125">
        <f>Lead!$Q$26</f>
        <v>0.4</v>
      </c>
      <c r="F48" s="91">
        <f>SUM(G44:G47)</f>
        <v>5651.5</v>
      </c>
      <c r="G48" s="92">
        <f>ROUND(F48*E48,2)</f>
        <v>2260.6</v>
      </c>
      <c r="H48" s="91">
        <f>SUM(I44:I47)</f>
        <v>5651.5</v>
      </c>
      <c r="I48" s="92">
        <f>ROUND(E48*SUM(I44:I47),2)</f>
        <v>2260.6</v>
      </c>
    </row>
    <row r="49" spans="1:9">
      <c r="A49" s="169"/>
      <c r="B49" s="160"/>
      <c r="C49" s="146" t="s">
        <v>245</v>
      </c>
      <c r="D49" s="181"/>
      <c r="E49" s="127"/>
      <c r="F49" s="88"/>
      <c r="G49" s="100"/>
      <c r="H49" s="88"/>
      <c r="I49" s="100"/>
    </row>
    <row r="50" spans="1:9">
      <c r="A50" s="169"/>
      <c r="B50" s="160"/>
      <c r="C50" s="149" t="s">
        <v>246</v>
      </c>
      <c r="D50" s="181" t="s">
        <v>247</v>
      </c>
      <c r="E50" s="127">
        <v>40</v>
      </c>
      <c r="F50" s="88">
        <v>117</v>
      </c>
      <c r="G50" s="89">
        <f>ROUND(E50*F50,2)</f>
        <v>4680</v>
      </c>
      <c r="H50" s="88">
        <v>155</v>
      </c>
      <c r="I50" s="89">
        <f>ROUND(H50*E50,2)</f>
        <v>6200</v>
      </c>
    </row>
    <row r="51" spans="1:9">
      <c r="A51" s="169"/>
      <c r="B51" s="160"/>
      <c r="C51" s="146" t="s">
        <v>248</v>
      </c>
      <c r="D51" s="181"/>
      <c r="E51" s="127"/>
      <c r="F51" s="88"/>
      <c r="G51" s="107"/>
      <c r="H51" s="88"/>
      <c r="I51" s="107"/>
    </row>
    <row r="52" spans="1:9" ht="63.75">
      <c r="A52" s="169"/>
      <c r="B52" s="160"/>
      <c r="C52" s="149" t="s">
        <v>249</v>
      </c>
      <c r="D52" s="181" t="s">
        <v>250</v>
      </c>
      <c r="E52" s="127">
        <v>100</v>
      </c>
      <c r="F52" s="104">
        <v>18</v>
      </c>
      <c r="G52" s="90"/>
      <c r="H52" s="104">
        <v>18</v>
      </c>
      <c r="I52" s="90"/>
    </row>
    <row r="53" spans="1:9">
      <c r="A53" s="169"/>
      <c r="B53" s="160"/>
      <c r="C53" s="159" t="s">
        <v>251</v>
      </c>
      <c r="D53" s="181"/>
      <c r="E53" s="127"/>
      <c r="F53" s="88"/>
      <c r="G53" s="108">
        <f>SUM(G44:G52)</f>
        <v>12592.1</v>
      </c>
      <c r="H53" s="88"/>
      <c r="I53" s="108">
        <f>SUM(I44:I52)</f>
        <v>14112.1</v>
      </c>
    </row>
    <row r="54" spans="1:9" ht="25.5">
      <c r="A54" s="169"/>
      <c r="B54" s="160"/>
      <c r="C54" s="146" t="s">
        <v>252</v>
      </c>
      <c r="D54" s="181"/>
      <c r="E54" s="127"/>
      <c r="F54" s="88">
        <v>0.01</v>
      </c>
      <c r="G54" s="89">
        <f>ROUND(E54*F54,2)</f>
        <v>0</v>
      </c>
      <c r="H54" s="88">
        <v>0.01</v>
      </c>
      <c r="I54" s="89">
        <f>ROUND(H54*E54,2)</f>
        <v>0</v>
      </c>
    </row>
    <row r="55" spans="1:9">
      <c r="A55" s="169"/>
      <c r="B55" s="160"/>
      <c r="C55" s="159" t="s">
        <v>253</v>
      </c>
      <c r="D55" s="181"/>
      <c r="E55" s="127"/>
      <c r="F55" s="88"/>
      <c r="G55" s="107">
        <f>SUM(G53:G54)</f>
        <v>12592.1</v>
      </c>
      <c r="H55" s="88"/>
      <c r="I55" s="107">
        <f>SUM(I53:I54)</f>
        <v>14112.1</v>
      </c>
    </row>
    <row r="56" spans="1:9">
      <c r="A56" s="169"/>
      <c r="B56" s="160"/>
      <c r="C56" s="183" t="s">
        <v>254</v>
      </c>
      <c r="D56" s="181"/>
      <c r="E56" s="130">
        <f>G55</f>
        <v>12592.1</v>
      </c>
      <c r="F56" s="109">
        <f>Lead!$Q$27</f>
        <v>0.13614999999999999</v>
      </c>
      <c r="G56" s="90">
        <f>ROUND(E56*F56,2)</f>
        <v>1714.41</v>
      </c>
      <c r="H56" s="274">
        <f>Lead!$Q$27</f>
        <v>0.13614999999999999</v>
      </c>
      <c r="I56" s="90">
        <f>ROUND(H56*I55,2)</f>
        <v>1921.36</v>
      </c>
    </row>
    <row r="57" spans="1:9">
      <c r="A57" s="169"/>
      <c r="B57" s="160"/>
      <c r="C57" s="158" t="s">
        <v>255</v>
      </c>
      <c r="D57" s="181"/>
      <c r="E57" s="127"/>
      <c r="F57" s="88"/>
      <c r="G57" s="107">
        <f>SUM(G55:G56)</f>
        <v>14306.51</v>
      </c>
      <c r="H57" s="88"/>
      <c r="I57" s="107">
        <f>SUM(I55:I56)</f>
        <v>16033.460000000001</v>
      </c>
    </row>
    <row r="58" spans="1:9">
      <c r="A58" s="169"/>
      <c r="B58" s="160"/>
      <c r="C58" s="159" t="s">
        <v>256</v>
      </c>
      <c r="D58" s="181"/>
      <c r="E58" s="127"/>
      <c r="F58" s="88" t="s">
        <v>339</v>
      </c>
      <c r="G58" s="101">
        <f>G57/100</f>
        <v>143.0651</v>
      </c>
      <c r="H58" s="88" t="s">
        <v>433</v>
      </c>
      <c r="I58" s="110">
        <f>I57/100</f>
        <v>160.33460000000002</v>
      </c>
    </row>
    <row r="59" spans="1:9">
      <c r="A59" s="169"/>
      <c r="B59" s="160" t="s">
        <v>435</v>
      </c>
      <c r="C59" s="146" t="s">
        <v>264</v>
      </c>
      <c r="D59" s="181"/>
      <c r="E59" s="127"/>
      <c r="F59" s="88"/>
      <c r="G59" s="100"/>
      <c r="H59" s="88"/>
      <c r="I59" s="100"/>
    </row>
    <row r="60" spans="1:9">
      <c r="A60" s="169"/>
      <c r="B60" s="160"/>
      <c r="C60" s="146" t="s">
        <v>242</v>
      </c>
      <c r="D60" s="181"/>
      <c r="E60" s="127"/>
      <c r="F60" s="88"/>
      <c r="G60" s="100"/>
      <c r="H60" s="88"/>
      <c r="I60" s="100"/>
    </row>
    <row r="61" spans="1:9" ht="15">
      <c r="A61" s="169"/>
      <c r="B61" s="160"/>
      <c r="C61" s="149" t="s">
        <v>345</v>
      </c>
      <c r="D61" s="181" t="s">
        <v>18</v>
      </c>
      <c r="E61" s="127">
        <v>2.1</v>
      </c>
      <c r="F61" s="88">
        <f>Lead!R26</f>
        <v>0</v>
      </c>
      <c r="G61" s="89">
        <f>ROUND(E61*F61,2)</f>
        <v>0</v>
      </c>
      <c r="H61" s="88">
        <f>Lead!R26</f>
        <v>0</v>
      </c>
      <c r="I61" s="89">
        <f>ROUND(H61*E61,2)</f>
        <v>0</v>
      </c>
    </row>
    <row r="62" spans="1:9" ht="15">
      <c r="A62" s="169"/>
      <c r="B62" s="160"/>
      <c r="C62" s="149" t="s">
        <v>347</v>
      </c>
      <c r="D62" s="181" t="s">
        <v>18</v>
      </c>
      <c r="E62" s="127">
        <v>4.9000000000000004</v>
      </c>
      <c r="F62" s="88">
        <f>Lead!R27</f>
        <v>0</v>
      </c>
      <c r="G62" s="89">
        <f>ROUND(E62*F62,2)</f>
        <v>0</v>
      </c>
      <c r="H62" s="88">
        <f>Lead!R27</f>
        <v>0</v>
      </c>
      <c r="I62" s="89">
        <f>ROUND(H62*E62,2)</f>
        <v>0</v>
      </c>
    </row>
    <row r="63" spans="1:9">
      <c r="A63" s="169"/>
      <c r="B63" s="160"/>
      <c r="C63" s="149" t="s">
        <v>243</v>
      </c>
      <c r="D63" s="181" t="s">
        <v>18</v>
      </c>
      <c r="E63" s="127">
        <v>13.9</v>
      </c>
      <c r="F63" s="88">
        <f>Lead!R24</f>
        <v>445</v>
      </c>
      <c r="G63" s="89">
        <f>ROUND(E63*F63,2)</f>
        <v>6185.5</v>
      </c>
      <c r="H63" s="88">
        <f>Lead!R24</f>
        <v>445</v>
      </c>
      <c r="I63" s="89">
        <f>ROUND(H63*E63,2)</f>
        <v>6185.5</v>
      </c>
    </row>
    <row r="64" spans="1:9">
      <c r="A64" s="169"/>
      <c r="B64" s="160"/>
      <c r="C64" s="149" t="s">
        <v>244</v>
      </c>
      <c r="D64" s="181" t="s">
        <v>18</v>
      </c>
      <c r="E64" s="127">
        <v>2.9</v>
      </c>
      <c r="F64" s="88">
        <f>Lead!R25</f>
        <v>0</v>
      </c>
      <c r="G64" s="89">
        <f>ROUND(E64*F64,2)</f>
        <v>0</v>
      </c>
      <c r="H64" s="88">
        <f>Lead!R25</f>
        <v>0</v>
      </c>
      <c r="I64" s="89">
        <f>ROUND(H64*E64,2)</f>
        <v>0</v>
      </c>
    </row>
    <row r="65" spans="1:9">
      <c r="A65" s="169"/>
      <c r="B65" s="160"/>
      <c r="C65" s="153" t="s">
        <v>315</v>
      </c>
      <c r="D65" s="125"/>
      <c r="E65" s="125">
        <f>Lead!$Q$26</f>
        <v>0.4</v>
      </c>
      <c r="F65" s="91">
        <f>SUM(G61:G64)</f>
        <v>6185.5</v>
      </c>
      <c r="G65" s="92">
        <f>ROUND(F65*E65,2)</f>
        <v>2474.1999999999998</v>
      </c>
      <c r="H65" s="91">
        <f>SUM(I61:I64)</f>
        <v>6185.5</v>
      </c>
      <c r="I65" s="92">
        <f>ROUND(E65*SUM(I61:I64),2)</f>
        <v>2474.1999999999998</v>
      </c>
    </row>
    <row r="66" spans="1:9">
      <c r="A66" s="169"/>
      <c r="B66" s="160"/>
      <c r="C66" s="146" t="s">
        <v>245</v>
      </c>
      <c r="D66" s="181"/>
      <c r="E66" s="127"/>
      <c r="F66" s="88"/>
      <c r="G66" s="100"/>
      <c r="H66" s="88"/>
      <c r="I66" s="100"/>
    </row>
    <row r="67" spans="1:9">
      <c r="A67" s="169"/>
      <c r="B67" s="160"/>
      <c r="C67" s="149" t="s">
        <v>246</v>
      </c>
      <c r="D67" s="181" t="s">
        <v>247</v>
      </c>
      <c r="E67" s="127">
        <v>40</v>
      </c>
      <c r="F67" s="88">
        <v>129</v>
      </c>
      <c r="G67" s="89">
        <f>ROUND(E67*F67,2)</f>
        <v>5160</v>
      </c>
      <c r="H67" s="88">
        <v>176</v>
      </c>
      <c r="I67" s="89">
        <f>ROUND(H67*E67,2)</f>
        <v>7040</v>
      </c>
    </row>
    <row r="68" spans="1:9">
      <c r="A68" s="169"/>
      <c r="B68" s="160"/>
      <c r="C68" s="146" t="s">
        <v>248</v>
      </c>
      <c r="D68" s="181"/>
      <c r="E68" s="127"/>
      <c r="F68" s="88"/>
      <c r="G68" s="107"/>
      <c r="H68" s="88"/>
      <c r="I68" s="107"/>
    </row>
    <row r="69" spans="1:9" ht="63.75">
      <c r="A69" s="169"/>
      <c r="B69" s="160"/>
      <c r="C69" s="149" t="s">
        <v>249</v>
      </c>
      <c r="D69" s="181" t="s">
        <v>250</v>
      </c>
      <c r="E69" s="127"/>
      <c r="F69" s="104"/>
      <c r="G69" s="90">
        <f>ROUND(E69*F69,2)</f>
        <v>0</v>
      </c>
      <c r="H69" s="104"/>
      <c r="I69" s="90">
        <f>ROUND(H69*E69,2)</f>
        <v>0</v>
      </c>
    </row>
    <row r="70" spans="1:9">
      <c r="A70" s="169"/>
      <c r="B70" s="160"/>
      <c r="C70" s="159" t="s">
        <v>251</v>
      </c>
      <c r="D70" s="181"/>
      <c r="E70" s="127"/>
      <c r="F70" s="88"/>
      <c r="G70" s="108">
        <f>SUM(G61:G69)</f>
        <v>13819.7</v>
      </c>
      <c r="H70" s="88"/>
      <c r="I70" s="108">
        <f>SUM(I61:I69)</f>
        <v>15699.7</v>
      </c>
    </row>
    <row r="71" spans="1:9" ht="25.5">
      <c r="A71" s="169"/>
      <c r="B71" s="160"/>
      <c r="C71" s="146" t="s">
        <v>252</v>
      </c>
      <c r="D71" s="181"/>
      <c r="E71" s="127"/>
      <c r="F71" s="88">
        <v>0.01</v>
      </c>
      <c r="G71" s="89">
        <f>ROUND(E71*F71,2)</f>
        <v>0</v>
      </c>
      <c r="H71" s="88">
        <v>0.01</v>
      </c>
      <c r="I71" s="89">
        <f>ROUND(H71*E71,2)</f>
        <v>0</v>
      </c>
    </row>
    <row r="72" spans="1:9">
      <c r="A72" s="169"/>
      <c r="B72" s="160"/>
      <c r="C72" s="159" t="s">
        <v>253</v>
      </c>
      <c r="D72" s="181"/>
      <c r="E72" s="127"/>
      <c r="F72" s="88"/>
      <c r="G72" s="107">
        <f>SUM(G70:G71)</f>
        <v>13819.7</v>
      </c>
      <c r="H72" s="88"/>
      <c r="I72" s="107">
        <f>SUM(I70:I71)</f>
        <v>15699.7</v>
      </c>
    </row>
    <row r="73" spans="1:9">
      <c r="A73" s="169"/>
      <c r="B73" s="160"/>
      <c r="C73" s="183" t="s">
        <v>254</v>
      </c>
      <c r="D73" s="181"/>
      <c r="E73" s="130">
        <f>G72</f>
        <v>13819.7</v>
      </c>
      <c r="F73" s="274">
        <f>Lead!Q27</f>
        <v>0.13614999999999999</v>
      </c>
      <c r="G73" s="90">
        <f>ROUND(E73*F73,2)</f>
        <v>1881.55</v>
      </c>
      <c r="H73" s="274">
        <f>Lead!$Q$27</f>
        <v>0.13614999999999999</v>
      </c>
      <c r="I73" s="90">
        <f>ROUND(H73*I72,2)</f>
        <v>2137.5100000000002</v>
      </c>
    </row>
    <row r="74" spans="1:9">
      <c r="A74" s="169"/>
      <c r="B74" s="160"/>
      <c r="C74" s="158" t="s">
        <v>255</v>
      </c>
      <c r="D74" s="181"/>
      <c r="E74" s="127"/>
      <c r="F74" s="88"/>
      <c r="G74" s="107">
        <f>SUM(G72:G73)</f>
        <v>15701.25</v>
      </c>
      <c r="H74" s="88"/>
      <c r="I74" s="107">
        <f>SUM(I72:I73)</f>
        <v>17837.21</v>
      </c>
    </row>
    <row r="75" spans="1:9">
      <c r="A75" s="169"/>
      <c r="B75" s="160"/>
      <c r="C75" s="159" t="s">
        <v>256</v>
      </c>
      <c r="D75" s="181"/>
      <c r="E75" s="127"/>
      <c r="F75" s="88" t="s">
        <v>154</v>
      </c>
      <c r="G75" s="101">
        <f>G74/100</f>
        <v>157.01249999999999</v>
      </c>
      <c r="H75" s="88" t="s">
        <v>154</v>
      </c>
      <c r="I75" s="110">
        <f>I74/100</f>
        <v>178.37209999999999</v>
      </c>
    </row>
    <row r="76" spans="1:9">
      <c r="A76" s="169"/>
      <c r="B76" s="160" t="s">
        <v>436</v>
      </c>
      <c r="C76" s="146" t="s">
        <v>77</v>
      </c>
      <c r="D76" s="181"/>
      <c r="E76" s="214"/>
      <c r="F76" s="215"/>
      <c r="G76" s="100"/>
      <c r="H76" s="215"/>
      <c r="I76" s="100"/>
    </row>
    <row r="77" spans="1:9">
      <c r="A77" s="169"/>
      <c r="B77" s="160"/>
      <c r="C77" s="146" t="s">
        <v>242</v>
      </c>
      <c r="D77" s="181"/>
      <c r="E77" s="214"/>
      <c r="F77" s="215"/>
      <c r="G77" s="100"/>
      <c r="H77" s="215"/>
      <c r="I77" s="100"/>
    </row>
    <row r="78" spans="1:9" ht="15">
      <c r="A78" s="169"/>
      <c r="B78" s="160"/>
      <c r="C78" s="149" t="s">
        <v>345</v>
      </c>
      <c r="D78" s="181" t="s">
        <v>18</v>
      </c>
      <c r="E78" s="214">
        <v>2.25</v>
      </c>
      <c r="F78" s="88">
        <f>Lead!R26</f>
        <v>0</v>
      </c>
      <c r="G78" s="90">
        <f>ROUND(E78*F78,2)</f>
        <v>0</v>
      </c>
      <c r="H78" s="88">
        <f>Lead!R26</f>
        <v>0</v>
      </c>
      <c r="I78" s="90">
        <f>ROUND(H78*E78,2)</f>
        <v>0</v>
      </c>
    </row>
    <row r="79" spans="1:9" ht="15">
      <c r="A79" s="169"/>
      <c r="B79" s="160"/>
      <c r="C79" s="149" t="s">
        <v>347</v>
      </c>
      <c r="D79" s="181" t="s">
        <v>18</v>
      </c>
      <c r="E79" s="214">
        <v>5.25</v>
      </c>
      <c r="F79" s="88">
        <f>Lead!R27</f>
        <v>0</v>
      </c>
      <c r="G79" s="90">
        <f>ROUND(E79*F79,2)</f>
        <v>0</v>
      </c>
      <c r="H79" s="88">
        <f>Lead!R27</f>
        <v>0</v>
      </c>
      <c r="I79" s="90">
        <f>ROUND(H79*E79,2)</f>
        <v>0</v>
      </c>
    </row>
    <row r="80" spans="1:9">
      <c r="A80" s="169"/>
      <c r="B80" s="160"/>
      <c r="C80" s="149" t="s">
        <v>243</v>
      </c>
      <c r="D80" s="181" t="s">
        <v>18</v>
      </c>
      <c r="E80" s="214">
        <v>15</v>
      </c>
      <c r="F80" s="88">
        <f>Lead!R24</f>
        <v>445</v>
      </c>
      <c r="G80" s="90">
        <f>ROUND(E80*F80,2)</f>
        <v>6675</v>
      </c>
      <c r="H80" s="88">
        <f>Lead!R24</f>
        <v>445</v>
      </c>
      <c r="I80" s="90">
        <f>ROUND(H80*E80,2)</f>
        <v>6675</v>
      </c>
    </row>
    <row r="81" spans="1:9">
      <c r="A81" s="169"/>
      <c r="B81" s="160"/>
      <c r="C81" s="149" t="s">
        <v>244</v>
      </c>
      <c r="D81" s="181" t="s">
        <v>18</v>
      </c>
      <c r="E81" s="214">
        <v>3.3</v>
      </c>
      <c r="F81" s="88">
        <f>Lead!R25</f>
        <v>0</v>
      </c>
      <c r="G81" s="90">
        <f>ROUND(E81*F81,2)</f>
        <v>0</v>
      </c>
      <c r="H81" s="88">
        <f>Lead!R25</f>
        <v>0</v>
      </c>
      <c r="I81" s="90">
        <f>ROUND(H81*E81,2)</f>
        <v>0</v>
      </c>
    </row>
    <row r="82" spans="1:9">
      <c r="A82" s="169"/>
      <c r="B82" s="160"/>
      <c r="C82" s="153" t="s">
        <v>315</v>
      </c>
      <c r="D82" s="125"/>
      <c r="E82" s="125">
        <f>Lead!$Q$26</f>
        <v>0.4</v>
      </c>
      <c r="F82" s="91">
        <f>SUM(G78:G81)</f>
        <v>6675</v>
      </c>
      <c r="G82" s="92">
        <f>ROUND(F82*E82,2)</f>
        <v>2670</v>
      </c>
      <c r="H82" s="91">
        <f>SUM(I78:I81)</f>
        <v>6675</v>
      </c>
      <c r="I82" s="92">
        <f>ROUND(E82*SUM(I78:I81),2)</f>
        <v>2670</v>
      </c>
    </row>
    <row r="83" spans="1:9">
      <c r="A83" s="169"/>
      <c r="B83" s="160"/>
      <c r="C83" s="146" t="s">
        <v>245</v>
      </c>
      <c r="D83" s="181"/>
      <c r="E83" s="214"/>
      <c r="F83" s="215"/>
      <c r="G83" s="100"/>
      <c r="H83" s="215"/>
      <c r="I83" s="100"/>
    </row>
    <row r="84" spans="1:9" ht="12.75" customHeight="1">
      <c r="A84" s="169"/>
      <c r="B84" s="160"/>
      <c r="C84" s="149" t="s">
        <v>246</v>
      </c>
      <c r="D84" s="181" t="s">
        <v>247</v>
      </c>
      <c r="E84" s="214">
        <v>40</v>
      </c>
      <c r="F84" s="215">
        <v>146</v>
      </c>
      <c r="G84" s="89">
        <f>ROUND(E84*F84,2)</f>
        <v>5840</v>
      </c>
      <c r="H84" s="215">
        <v>200</v>
      </c>
      <c r="I84" s="89">
        <f>ROUND(H84*E84,2)</f>
        <v>8000</v>
      </c>
    </row>
    <row r="85" spans="1:9">
      <c r="A85" s="169"/>
      <c r="B85" s="160"/>
      <c r="C85" s="146" t="s">
        <v>248</v>
      </c>
      <c r="D85" s="181"/>
      <c r="E85" s="214"/>
      <c r="F85" s="215"/>
      <c r="G85" s="107"/>
      <c r="H85" s="215"/>
      <c r="I85" s="107"/>
    </row>
    <row r="86" spans="1:9" ht="45" customHeight="1">
      <c r="A86" s="169"/>
      <c r="B86" s="160"/>
      <c r="C86" s="149" t="s">
        <v>249</v>
      </c>
      <c r="D86" s="181" t="s">
        <v>250</v>
      </c>
      <c r="E86" s="127">
        <v>100</v>
      </c>
      <c r="F86" s="104">
        <v>18</v>
      </c>
      <c r="G86" s="90"/>
      <c r="H86" s="104">
        <v>18</v>
      </c>
      <c r="I86" s="90"/>
    </row>
    <row r="87" spans="1:9" s="212" customFormat="1">
      <c r="A87" s="216"/>
      <c r="B87" s="160"/>
      <c r="C87" s="217" t="s">
        <v>251</v>
      </c>
      <c r="D87" s="218"/>
      <c r="E87" s="127"/>
      <c r="F87" s="88"/>
      <c r="G87" s="108">
        <f>SUM(G78:G86)</f>
        <v>15185</v>
      </c>
      <c r="H87" s="88"/>
      <c r="I87" s="108">
        <f>SUM(I78:I86)</f>
        <v>17345</v>
      </c>
    </row>
    <row r="88" spans="1:9">
      <c r="A88" s="169"/>
      <c r="B88" s="160"/>
      <c r="C88" s="183" t="s">
        <v>254</v>
      </c>
      <c r="D88" s="181"/>
      <c r="E88" s="130">
        <f>G87</f>
        <v>15185</v>
      </c>
      <c r="F88" s="274">
        <f>Lead!Q27</f>
        <v>0.13614999999999999</v>
      </c>
      <c r="G88" s="90">
        <f>ROUND(E88*F88,2)</f>
        <v>2067.44</v>
      </c>
      <c r="H88" s="274">
        <f>Lead!Q27</f>
        <v>0.13614999999999999</v>
      </c>
      <c r="I88" s="90">
        <f>ROUND(H88*E88,2)</f>
        <v>2067.44</v>
      </c>
    </row>
    <row r="89" spans="1:9">
      <c r="A89" s="169"/>
      <c r="B89" s="160"/>
      <c r="C89" s="158" t="s">
        <v>255</v>
      </c>
      <c r="D89" s="181"/>
      <c r="E89" s="127"/>
      <c r="F89" s="88"/>
      <c r="G89" s="107">
        <f>SUM(G87:G88)</f>
        <v>17252.439999999999</v>
      </c>
      <c r="H89" s="88"/>
      <c r="I89" s="107">
        <f>SUM(I87:I88)</f>
        <v>19412.439999999999</v>
      </c>
    </row>
    <row r="90" spans="1:9">
      <c r="A90" s="169"/>
      <c r="B90" s="160"/>
      <c r="C90" s="159" t="s">
        <v>256</v>
      </c>
      <c r="D90" s="181"/>
      <c r="E90" s="127"/>
      <c r="F90" s="88" t="s">
        <v>154</v>
      </c>
      <c r="G90" s="101">
        <f>G89/100</f>
        <v>172.52439999999999</v>
      </c>
      <c r="H90" s="88" t="s">
        <v>433</v>
      </c>
      <c r="I90" s="101">
        <f>I89/100</f>
        <v>194.12439999999998</v>
      </c>
    </row>
    <row r="91" spans="1:9" s="213" customFormat="1">
      <c r="A91" s="219"/>
      <c r="B91" s="160"/>
      <c r="C91" s="220" t="s">
        <v>255</v>
      </c>
      <c r="D91" s="221"/>
      <c r="E91" s="222"/>
      <c r="F91" s="223"/>
      <c r="G91" s="224"/>
      <c r="H91" s="223"/>
      <c r="I91" s="224"/>
    </row>
    <row r="92" spans="1:9">
      <c r="A92" s="169"/>
      <c r="B92" s="160" t="s">
        <v>437</v>
      </c>
      <c r="C92" s="159" t="s">
        <v>78</v>
      </c>
      <c r="D92" s="181"/>
      <c r="E92" s="214"/>
      <c r="F92" s="215"/>
      <c r="G92" s="100"/>
      <c r="H92" s="215"/>
      <c r="I92" s="100"/>
    </row>
    <row r="93" spans="1:9">
      <c r="A93" s="169"/>
      <c r="B93" s="160"/>
      <c r="C93" s="159" t="s">
        <v>242</v>
      </c>
      <c r="D93" s="181"/>
      <c r="E93" s="214"/>
      <c r="F93" s="215"/>
      <c r="G93" s="100"/>
      <c r="H93" s="215"/>
      <c r="I93" s="100"/>
    </row>
    <row r="94" spans="1:9" ht="12" customHeight="1">
      <c r="A94" s="169"/>
      <c r="B94" s="160"/>
      <c r="C94" s="158" t="s">
        <v>345</v>
      </c>
      <c r="D94" s="181" t="s">
        <v>18</v>
      </c>
      <c r="E94" s="214">
        <v>2.4300000000000002</v>
      </c>
      <c r="F94" s="88">
        <f>Lead!R26</f>
        <v>0</v>
      </c>
      <c r="G94" s="89">
        <f>ROUND(E94*F94,2)</f>
        <v>0</v>
      </c>
      <c r="H94" s="88">
        <f>Lead!R26</f>
        <v>0</v>
      </c>
      <c r="I94" s="89">
        <f>ROUND(H94*E94,2)</f>
        <v>0</v>
      </c>
    </row>
    <row r="95" spans="1:9" ht="12" customHeight="1">
      <c r="A95" s="169"/>
      <c r="B95" s="160"/>
      <c r="C95" s="158" t="s">
        <v>347</v>
      </c>
      <c r="D95" s="181" t="s">
        <v>18</v>
      </c>
      <c r="E95" s="214">
        <v>5.67</v>
      </c>
      <c r="F95" s="88">
        <f>Lead!R27</f>
        <v>0</v>
      </c>
      <c r="G95" s="89">
        <f>ROUND(E95*F95,2)</f>
        <v>0</v>
      </c>
      <c r="H95" s="88">
        <f>Lead!R27</f>
        <v>0</v>
      </c>
      <c r="I95" s="89">
        <f>ROUND(H95*E95,2)</f>
        <v>0</v>
      </c>
    </row>
    <row r="96" spans="1:9" ht="11.25" customHeight="1">
      <c r="A96" s="169"/>
      <c r="B96" s="160"/>
      <c r="C96" s="158" t="s">
        <v>243</v>
      </c>
      <c r="D96" s="181" t="s">
        <v>18</v>
      </c>
      <c r="E96" s="214">
        <v>16.2</v>
      </c>
      <c r="F96" s="88">
        <f>Lead!R24</f>
        <v>445</v>
      </c>
      <c r="G96" s="89">
        <f>ROUND(E96*F96,2)</f>
        <v>7209</v>
      </c>
      <c r="H96" s="88">
        <f>Lead!R24</f>
        <v>445</v>
      </c>
      <c r="I96" s="89">
        <f>ROUND(H96*E96,2)</f>
        <v>7209</v>
      </c>
    </row>
    <row r="97" spans="1:9" ht="10.5" customHeight="1">
      <c r="A97" s="169"/>
      <c r="B97" s="160"/>
      <c r="C97" s="158" t="s">
        <v>244</v>
      </c>
      <c r="D97" s="181" t="s">
        <v>18</v>
      </c>
      <c r="E97" s="214">
        <v>3.3</v>
      </c>
      <c r="F97" s="88">
        <f>Lead!R25</f>
        <v>0</v>
      </c>
      <c r="G97" s="89">
        <f>ROUND(E97*F97,2)</f>
        <v>0</v>
      </c>
      <c r="H97" s="88">
        <f>Lead!R25</f>
        <v>0</v>
      </c>
      <c r="I97" s="89">
        <f>ROUND(H97*E97,2)</f>
        <v>0</v>
      </c>
    </row>
    <row r="98" spans="1:9">
      <c r="A98" s="169"/>
      <c r="B98" s="160"/>
      <c r="C98" s="153" t="s">
        <v>315</v>
      </c>
      <c r="D98" s="125"/>
      <c r="E98" s="125">
        <f>Lead!$Q$26</f>
        <v>0.4</v>
      </c>
      <c r="F98" s="91">
        <f>SUM(G94:G97)</f>
        <v>7209</v>
      </c>
      <c r="G98" s="92">
        <f>ROUND(F98*E98,2)</f>
        <v>2883.6</v>
      </c>
      <c r="H98" s="91">
        <f>SUM(I94:I97)</f>
        <v>7209</v>
      </c>
      <c r="I98" s="92">
        <f>ROUND(E98*SUM(I94:I97),2)</f>
        <v>2883.6</v>
      </c>
    </row>
    <row r="99" spans="1:9">
      <c r="A99" s="169"/>
      <c r="B99" s="160"/>
      <c r="C99" s="159" t="s">
        <v>245</v>
      </c>
      <c r="D99" s="181"/>
      <c r="E99" s="214"/>
      <c r="F99" s="215"/>
      <c r="G99" s="100"/>
      <c r="H99" s="215"/>
      <c r="I99" s="100"/>
    </row>
    <row r="100" spans="1:9" ht="12.75" customHeight="1">
      <c r="A100" s="169"/>
      <c r="B100" s="160"/>
      <c r="C100" s="158" t="s">
        <v>246</v>
      </c>
      <c r="D100" s="181" t="s">
        <v>247</v>
      </c>
      <c r="E100" s="214">
        <v>40</v>
      </c>
      <c r="F100" s="215">
        <v>191</v>
      </c>
      <c r="G100" s="89">
        <f>ROUND(E100*F100,2)</f>
        <v>7640</v>
      </c>
      <c r="H100" s="215">
        <v>229</v>
      </c>
      <c r="I100" s="89">
        <f>ROUND(H100*E100,2)</f>
        <v>9160</v>
      </c>
    </row>
    <row r="101" spans="1:9">
      <c r="A101" s="169"/>
      <c r="B101" s="160"/>
      <c r="C101" s="146" t="s">
        <v>248</v>
      </c>
      <c r="D101" s="181"/>
      <c r="E101" s="214"/>
      <c r="F101" s="215"/>
      <c r="G101" s="107"/>
      <c r="H101" s="215"/>
      <c r="I101" s="107"/>
    </row>
    <row r="102" spans="1:9" ht="63.75">
      <c r="A102" s="169"/>
      <c r="B102" s="160"/>
      <c r="C102" s="149" t="s">
        <v>249</v>
      </c>
      <c r="D102" s="181" t="s">
        <v>250</v>
      </c>
      <c r="E102" s="214"/>
      <c r="F102" s="225"/>
      <c r="G102" s="90">
        <f>ROUND(E102*F102,2)</f>
        <v>0</v>
      </c>
      <c r="H102" s="225"/>
      <c r="I102" s="90">
        <f>ROUND(H102*E102,2)</f>
        <v>0</v>
      </c>
    </row>
    <row r="103" spans="1:9">
      <c r="A103" s="169"/>
      <c r="B103" s="160"/>
      <c r="C103" s="159" t="s">
        <v>251</v>
      </c>
      <c r="D103" s="181"/>
      <c r="E103" s="127"/>
      <c r="F103" s="88"/>
      <c r="G103" s="108">
        <f>SUM(G94:G102)</f>
        <v>17732.599999999999</v>
      </c>
      <c r="H103" s="88"/>
      <c r="I103" s="108">
        <f>SUM(I94:I102)</f>
        <v>19252.599999999999</v>
      </c>
    </row>
    <row r="104" spans="1:9" ht="25.5">
      <c r="A104" s="169"/>
      <c r="B104" s="160"/>
      <c r="C104" s="146" t="s">
        <v>252</v>
      </c>
      <c r="D104" s="181"/>
      <c r="E104" s="127"/>
      <c r="F104" s="88">
        <v>0.01</v>
      </c>
      <c r="G104" s="89">
        <f>ROUND(E104*F104,2)</f>
        <v>0</v>
      </c>
      <c r="H104" s="88">
        <v>0.01</v>
      </c>
      <c r="I104" s="89">
        <f>ROUND(H104*E104,2)</f>
        <v>0</v>
      </c>
    </row>
    <row r="105" spans="1:9">
      <c r="A105" s="169"/>
      <c r="B105" s="160"/>
      <c r="C105" s="159" t="s">
        <v>253</v>
      </c>
      <c r="D105" s="181"/>
      <c r="E105" s="127"/>
      <c r="F105" s="88"/>
      <c r="G105" s="107">
        <f>SUM(G103:G104)</f>
        <v>17732.599999999999</v>
      </c>
      <c r="H105" s="88"/>
      <c r="I105" s="107">
        <f>SUM(I103:I104)</f>
        <v>19252.599999999999</v>
      </c>
    </row>
    <row r="106" spans="1:9">
      <c r="A106" s="169"/>
      <c r="B106" s="160"/>
      <c r="C106" s="183" t="s">
        <v>254</v>
      </c>
      <c r="D106" s="181"/>
      <c r="E106" s="130">
        <f>G105</f>
        <v>17732.599999999999</v>
      </c>
      <c r="F106" s="274">
        <f>Lead!Q27</f>
        <v>0.13614999999999999</v>
      </c>
      <c r="G106" s="90">
        <f>ROUND(E106*F106,2)</f>
        <v>2414.29</v>
      </c>
      <c r="H106" s="274">
        <f>Lead!Q27</f>
        <v>0.13614999999999999</v>
      </c>
      <c r="I106" s="90">
        <f>ROUND(H106*E106,2)</f>
        <v>2414.29</v>
      </c>
    </row>
    <row r="107" spans="1:9">
      <c r="A107" s="169"/>
      <c r="B107" s="160"/>
      <c r="C107" s="158" t="s">
        <v>255</v>
      </c>
      <c r="D107" s="181"/>
      <c r="E107" s="127"/>
      <c r="F107" s="88"/>
      <c r="G107" s="107">
        <f>SUM(G105:G106)</f>
        <v>20146.89</v>
      </c>
      <c r="H107" s="88"/>
      <c r="I107" s="107">
        <f>SUM(I105:I106)</f>
        <v>21666.89</v>
      </c>
    </row>
    <row r="108" spans="1:9">
      <c r="A108" s="169"/>
      <c r="B108" s="160"/>
      <c r="C108" s="159" t="s">
        <v>256</v>
      </c>
      <c r="D108" s="181"/>
      <c r="E108" s="127"/>
      <c r="F108" s="88" t="s">
        <v>154</v>
      </c>
      <c r="G108" s="101">
        <f>G107/100</f>
        <v>201.46889999999999</v>
      </c>
      <c r="H108" s="88" t="s">
        <v>433</v>
      </c>
      <c r="I108" s="101">
        <f>I107/100</f>
        <v>216.66890000000001</v>
      </c>
    </row>
    <row r="109" spans="1:9">
      <c r="A109" s="169"/>
      <c r="B109" s="160" t="s">
        <v>318</v>
      </c>
      <c r="C109" s="146" t="s">
        <v>79</v>
      </c>
      <c r="D109" s="181"/>
      <c r="E109" s="214"/>
      <c r="F109" s="215"/>
      <c r="G109" s="100"/>
      <c r="H109" s="215"/>
      <c r="I109" s="100"/>
    </row>
    <row r="110" spans="1:9">
      <c r="A110" s="169"/>
      <c r="B110" s="160"/>
      <c r="C110" s="146" t="s">
        <v>242</v>
      </c>
      <c r="D110" s="181"/>
      <c r="E110" s="214"/>
      <c r="F110" s="215"/>
      <c r="G110" s="100"/>
      <c r="H110" s="215"/>
      <c r="I110" s="100"/>
    </row>
    <row r="111" spans="1:9" ht="15">
      <c r="A111" s="169"/>
      <c r="B111" s="160"/>
      <c r="C111" s="149" t="s">
        <v>345</v>
      </c>
      <c r="D111" s="181" t="s">
        <v>18</v>
      </c>
      <c r="E111" s="214">
        <v>2.75</v>
      </c>
      <c r="F111" s="88">
        <f>Lead!R26</f>
        <v>0</v>
      </c>
      <c r="G111" s="90">
        <f>ROUND(E111*F111,2)</f>
        <v>0</v>
      </c>
      <c r="H111" s="88">
        <f>Lead!R26</f>
        <v>0</v>
      </c>
      <c r="I111" s="90">
        <f>ROUND(H111*E111,2)</f>
        <v>0</v>
      </c>
    </row>
    <row r="112" spans="1:9" ht="15">
      <c r="A112" s="169"/>
      <c r="B112" s="160"/>
      <c r="C112" s="149" t="s">
        <v>347</v>
      </c>
      <c r="D112" s="181" t="s">
        <v>18</v>
      </c>
      <c r="E112" s="214">
        <v>6.45</v>
      </c>
      <c r="F112" s="88">
        <f>Lead!R27</f>
        <v>0</v>
      </c>
      <c r="G112" s="90">
        <f>ROUND(E112*F112,2)</f>
        <v>0</v>
      </c>
      <c r="H112" s="88">
        <f>Lead!R27</f>
        <v>0</v>
      </c>
      <c r="I112" s="90">
        <f>ROUND(H112*E112,2)</f>
        <v>0</v>
      </c>
    </row>
    <row r="113" spans="1:9">
      <c r="A113" s="169"/>
      <c r="B113" s="160"/>
      <c r="C113" s="149" t="s">
        <v>243</v>
      </c>
      <c r="D113" s="181" t="s">
        <v>18</v>
      </c>
      <c r="E113" s="214">
        <v>16.3</v>
      </c>
      <c r="F113" s="88">
        <f>Lead!R24</f>
        <v>445</v>
      </c>
      <c r="G113" s="90">
        <f>ROUND(E113*F113,2)</f>
        <v>7253.5</v>
      </c>
      <c r="H113" s="88">
        <f>Lead!R24</f>
        <v>445</v>
      </c>
      <c r="I113" s="90">
        <f>ROUND(H113*E113,2)</f>
        <v>7253.5</v>
      </c>
    </row>
    <row r="114" spans="1:9">
      <c r="A114" s="169"/>
      <c r="B114" s="160"/>
      <c r="C114" s="149" t="s">
        <v>244</v>
      </c>
      <c r="D114" s="181" t="s">
        <v>18</v>
      </c>
      <c r="E114" s="214">
        <v>3.3</v>
      </c>
      <c r="F114" s="88">
        <f>Lead!R25</f>
        <v>0</v>
      </c>
      <c r="G114" s="90">
        <f>ROUND(E114*F114,2)</f>
        <v>0</v>
      </c>
      <c r="H114" s="88">
        <f>Lead!R25</f>
        <v>0</v>
      </c>
      <c r="I114" s="90">
        <f>ROUND(H114*E114,2)</f>
        <v>0</v>
      </c>
    </row>
    <row r="115" spans="1:9">
      <c r="A115" s="169"/>
      <c r="B115" s="160"/>
      <c r="C115" s="153" t="s">
        <v>315</v>
      </c>
      <c r="D115" s="125"/>
      <c r="E115" s="125">
        <f>Lead!$Q$26</f>
        <v>0.4</v>
      </c>
      <c r="F115" s="91">
        <f>SUM(G111:G114)</f>
        <v>7253.5</v>
      </c>
      <c r="G115" s="92">
        <f>ROUND(F115*E115,2)</f>
        <v>2901.4</v>
      </c>
      <c r="H115" s="91">
        <f>SUM(I111:I114)</f>
        <v>7253.5</v>
      </c>
      <c r="I115" s="92">
        <f>ROUND(E115*SUM(I111:I114),2)</f>
        <v>2901.4</v>
      </c>
    </row>
    <row r="116" spans="1:9">
      <c r="A116" s="169"/>
      <c r="B116" s="160"/>
      <c r="C116" s="146" t="s">
        <v>245</v>
      </c>
      <c r="D116" s="181"/>
      <c r="E116" s="214"/>
      <c r="F116" s="215"/>
      <c r="G116" s="100"/>
      <c r="H116" s="215"/>
      <c r="I116" s="100"/>
    </row>
    <row r="117" spans="1:9" ht="12.75" customHeight="1">
      <c r="A117" s="169"/>
      <c r="B117" s="160"/>
      <c r="C117" s="149" t="s">
        <v>246</v>
      </c>
      <c r="D117" s="181" t="s">
        <v>247</v>
      </c>
      <c r="E117" s="214">
        <v>40</v>
      </c>
      <c r="F117" s="215">
        <v>251</v>
      </c>
      <c r="G117" s="89">
        <f>ROUND(E117*F117,2)</f>
        <v>10040</v>
      </c>
      <c r="H117" s="215">
        <v>333</v>
      </c>
      <c r="I117" s="89">
        <f>ROUND(H117*E117,2)</f>
        <v>13320</v>
      </c>
    </row>
    <row r="118" spans="1:9">
      <c r="A118" s="169"/>
      <c r="B118" s="160"/>
      <c r="C118" s="146" t="s">
        <v>248</v>
      </c>
      <c r="D118" s="181"/>
      <c r="E118" s="214"/>
      <c r="F118" s="215"/>
      <c r="G118" s="107"/>
      <c r="H118" s="215"/>
      <c r="I118" s="107"/>
    </row>
    <row r="119" spans="1:9" ht="63.75">
      <c r="A119" s="169"/>
      <c r="B119" s="160"/>
      <c r="C119" s="149" t="s">
        <v>249</v>
      </c>
      <c r="D119" s="181" t="s">
        <v>250</v>
      </c>
      <c r="E119" s="214">
        <v>100</v>
      </c>
      <c r="F119" s="225">
        <v>18</v>
      </c>
      <c r="G119" s="90"/>
      <c r="H119" s="225">
        <v>18</v>
      </c>
      <c r="I119" s="90"/>
    </row>
    <row r="120" spans="1:9">
      <c r="A120" s="169"/>
      <c r="B120" s="160"/>
      <c r="C120" s="159" t="s">
        <v>251</v>
      </c>
      <c r="D120" s="181"/>
      <c r="E120" s="127"/>
      <c r="F120" s="88"/>
      <c r="G120" s="108">
        <f>SUM(G111:G119)</f>
        <v>20194.900000000001</v>
      </c>
      <c r="H120" s="88"/>
      <c r="I120" s="108">
        <f>SUM(I111:I119)</f>
        <v>23474.9</v>
      </c>
    </row>
    <row r="121" spans="1:9" ht="25.5">
      <c r="A121" s="169"/>
      <c r="B121" s="160"/>
      <c r="C121" s="146" t="s">
        <v>252</v>
      </c>
      <c r="D121" s="181"/>
      <c r="E121" s="127"/>
      <c r="F121" s="88">
        <v>0.01</v>
      </c>
      <c r="G121" s="89">
        <f>ROUND(E121*F121,2)</f>
        <v>0</v>
      </c>
      <c r="H121" s="88">
        <v>0.01</v>
      </c>
      <c r="I121" s="89">
        <f>ROUND(H121*E121,2)</f>
        <v>0</v>
      </c>
    </row>
    <row r="122" spans="1:9">
      <c r="A122" s="169"/>
      <c r="B122" s="160"/>
      <c r="C122" s="159" t="s">
        <v>253</v>
      </c>
      <c r="D122" s="181"/>
      <c r="E122" s="127"/>
      <c r="F122" s="88"/>
      <c r="G122" s="107">
        <f>SUM(G120:G121)</f>
        <v>20194.900000000001</v>
      </c>
      <c r="H122" s="88"/>
      <c r="I122" s="107">
        <f>SUM(I120:I121)</f>
        <v>23474.9</v>
      </c>
    </row>
    <row r="123" spans="1:9">
      <c r="A123" s="169"/>
      <c r="B123" s="160"/>
      <c r="C123" s="183" t="s">
        <v>254</v>
      </c>
      <c r="D123" s="181"/>
      <c r="E123" s="130">
        <f>G122</f>
        <v>20194.900000000001</v>
      </c>
      <c r="F123" s="274">
        <f>Lead!Q27</f>
        <v>0.13614999999999999</v>
      </c>
      <c r="G123" s="90">
        <f>ROUND(E123*F123,2)</f>
        <v>2749.54</v>
      </c>
      <c r="H123" s="274">
        <f>Lead!Q27</f>
        <v>0.13614999999999999</v>
      </c>
      <c r="I123" s="90">
        <f>ROUND(H123*E123,2)</f>
        <v>2749.54</v>
      </c>
    </row>
    <row r="124" spans="1:9">
      <c r="A124" s="169"/>
      <c r="B124" s="160"/>
      <c r="C124" s="158" t="s">
        <v>255</v>
      </c>
      <c r="D124" s="181"/>
      <c r="E124" s="127"/>
      <c r="F124" s="88"/>
      <c r="G124" s="107">
        <f>SUM(G122:G123)</f>
        <v>22944.440000000002</v>
      </c>
      <c r="H124" s="107"/>
      <c r="I124" s="107">
        <f>SUM(I122:I123)</f>
        <v>26224.440000000002</v>
      </c>
    </row>
    <row r="125" spans="1:9">
      <c r="A125" s="169"/>
      <c r="B125" s="160"/>
      <c r="C125" s="159" t="s">
        <v>256</v>
      </c>
      <c r="D125" s="181"/>
      <c r="E125" s="127"/>
      <c r="F125" s="88" t="s">
        <v>154</v>
      </c>
      <c r="G125" s="101">
        <f>G124/100</f>
        <v>229.44440000000003</v>
      </c>
      <c r="H125" s="101" t="s">
        <v>154</v>
      </c>
      <c r="I125" s="101">
        <f>I124/100</f>
        <v>262.24440000000004</v>
      </c>
    </row>
    <row r="129" spans="2:8" s="285" customFormat="1">
      <c r="B129" s="286"/>
      <c r="C129" s="285">
        <f>Lead!B47</f>
        <v>0</v>
      </c>
      <c r="E129" s="285">
        <f>Lead!K47</f>
        <v>0</v>
      </c>
      <c r="H129" s="285">
        <f>Lead!R47</f>
        <v>0</v>
      </c>
    </row>
    <row r="130" spans="2:8" s="285" customFormat="1">
      <c r="B130" s="286"/>
      <c r="C130" s="285">
        <f>Lead!B48</f>
        <v>0</v>
      </c>
      <c r="E130" s="285">
        <f>Lead!K48</f>
        <v>0</v>
      </c>
      <c r="H130" s="285">
        <f>Lead!R48</f>
        <v>0</v>
      </c>
    </row>
    <row r="131" spans="2:8" s="285" customFormat="1">
      <c r="B131" s="286"/>
      <c r="E131" s="287"/>
      <c r="F131" s="287"/>
      <c r="G131" s="287"/>
      <c r="H131" s="287"/>
    </row>
  </sheetData>
  <mergeCells count="3">
    <mergeCell ref="A2:I2"/>
    <mergeCell ref="A3:I3"/>
    <mergeCell ref="A1:I1"/>
  </mergeCells>
  <printOptions horizontalCentered="1"/>
  <pageMargins left="0.25" right="0.1" top="0.28000000000000003" bottom="0.4" header="0.23622047244094499" footer="0.15748031496063"/>
  <pageSetup paperSize="9" orientation="portrait" r:id="rId1"/>
  <headerFooter alignWithMargins="0">
    <oddHeader>Page &amp;P</oddHeader>
    <oddFooter>&amp;CUGD DATA 2014-15</oddFooter>
  </headerFooter>
  <legacyDrawing r:id="rId2"/>
</worksheet>
</file>

<file path=xl/worksheets/sheet6.xml><?xml version="1.0" encoding="utf-8"?>
<worksheet xmlns="http://schemas.openxmlformats.org/spreadsheetml/2006/main" xmlns:r="http://schemas.openxmlformats.org/officeDocument/2006/relationships">
  <dimension ref="B1:AI1025"/>
  <sheetViews>
    <sheetView view="pageBreakPreview" zoomScale="70" zoomScaleSheetLayoutView="70" workbookViewId="0">
      <selection activeCell="H30" sqref="H30:P30"/>
    </sheetView>
  </sheetViews>
  <sheetFormatPr defaultColWidth="9.140625" defaultRowHeight="12.75"/>
  <cols>
    <col min="1" max="1" width="5" style="1205" customWidth="1"/>
    <col min="2" max="2" width="4.42578125" style="1205" customWidth="1"/>
    <col min="3" max="5" width="5.28515625" style="1205" customWidth="1"/>
    <col min="6" max="6" width="7.28515625" style="1205" customWidth="1"/>
    <col min="7" max="13" width="5.28515625" style="1205" customWidth="1"/>
    <col min="14" max="14" width="3.42578125" style="1205" customWidth="1"/>
    <col min="15" max="17" width="5.28515625" style="1205" customWidth="1"/>
    <col min="18" max="20" width="1.5703125" style="1205" customWidth="1"/>
    <col min="21" max="28" width="2.7109375" style="1205" customWidth="1"/>
    <col min="29" max="29" width="5" style="1205" customWidth="1"/>
    <col min="30" max="34" width="2.7109375" style="1205" customWidth="1"/>
    <col min="35" max="35" width="9.140625" style="1205" customWidth="1"/>
    <col min="36" max="16384" width="9.140625" style="1205"/>
  </cols>
  <sheetData>
    <row r="1" spans="2:35" ht="25.5" customHeight="1">
      <c r="AI1" s="1206"/>
    </row>
    <row r="2" spans="2:35" ht="25.5" customHeight="1">
      <c r="AI2" s="1206"/>
    </row>
    <row r="3" spans="2:35" ht="25.5" customHeight="1">
      <c r="B3" s="1207"/>
      <c r="C3" s="1467" t="s">
        <v>1316</v>
      </c>
      <c r="D3" s="1467"/>
      <c r="E3" s="1467"/>
      <c r="F3" s="1467"/>
      <c r="G3" s="1467"/>
      <c r="H3" s="1467"/>
      <c r="I3" s="1467"/>
      <c r="J3" s="1467"/>
      <c r="K3" s="1467"/>
      <c r="L3" s="1467"/>
      <c r="M3" s="1467"/>
      <c r="N3" s="1467"/>
      <c r="O3" s="1467"/>
      <c r="P3" s="1208"/>
      <c r="Q3" s="1207"/>
      <c r="AI3" s="1206"/>
    </row>
    <row r="4" spans="2:35" ht="30">
      <c r="B4" s="1207"/>
      <c r="C4" s="1467"/>
      <c r="D4" s="1467"/>
      <c r="E4" s="1467"/>
      <c r="F4" s="1467"/>
      <c r="G4" s="1467"/>
      <c r="H4" s="1467"/>
      <c r="I4" s="1467"/>
      <c r="J4" s="1467"/>
      <c r="K4" s="1467"/>
      <c r="L4" s="1467"/>
      <c r="M4" s="1467"/>
      <c r="N4" s="1467"/>
      <c r="O4" s="1467"/>
      <c r="P4" s="1208"/>
      <c r="Q4" s="1207"/>
      <c r="AI4" s="1206"/>
    </row>
    <row r="5" spans="2:35" ht="12.75" customHeight="1">
      <c r="B5" s="1209"/>
      <c r="C5" s="1467"/>
      <c r="D5" s="1467"/>
      <c r="E5" s="1467"/>
      <c r="F5" s="1467"/>
      <c r="G5" s="1467"/>
      <c r="H5" s="1467"/>
      <c r="I5" s="1467"/>
      <c r="J5" s="1467"/>
      <c r="K5" s="1467"/>
      <c r="L5" s="1467"/>
      <c r="M5" s="1467"/>
      <c r="N5" s="1467"/>
      <c r="O5" s="1467"/>
      <c r="P5" s="1210"/>
      <c r="Q5" s="1209"/>
      <c r="AI5" s="1206"/>
    </row>
    <row r="6" spans="2:35" ht="25.5" customHeight="1">
      <c r="B6" s="1209"/>
      <c r="C6" s="1210"/>
      <c r="D6" s="1210"/>
      <c r="E6" s="1210"/>
      <c r="F6" s="1210"/>
      <c r="G6" s="1210"/>
      <c r="H6" s="1210"/>
      <c r="I6" s="1210"/>
      <c r="J6" s="1210"/>
      <c r="K6" s="1210"/>
      <c r="L6" s="1210"/>
      <c r="M6" s="1210"/>
      <c r="N6" s="1210"/>
      <c r="O6" s="1210"/>
      <c r="P6" s="1210"/>
      <c r="Q6" s="1209"/>
      <c r="AI6" s="1206"/>
    </row>
    <row r="7" spans="2:35" ht="25.5" customHeight="1">
      <c r="B7" s="1209"/>
      <c r="C7" s="1210"/>
      <c r="D7" s="1468" t="s">
        <v>1328</v>
      </c>
      <c r="E7" s="1468"/>
      <c r="F7" s="1468"/>
      <c r="G7" s="1468"/>
      <c r="H7" s="1468"/>
      <c r="I7" s="1468"/>
      <c r="J7" s="1468"/>
      <c r="K7" s="1468"/>
      <c r="L7" s="1468"/>
      <c r="M7" s="1468"/>
      <c r="N7" s="1468"/>
      <c r="O7" s="1210"/>
      <c r="P7" s="1210"/>
      <c r="Q7" s="1209"/>
      <c r="AI7" s="1206"/>
    </row>
    <row r="8" spans="2:35" ht="25.5" customHeight="1">
      <c r="B8" s="1209"/>
      <c r="C8" s="1210"/>
      <c r="D8" s="1468"/>
      <c r="E8" s="1468"/>
      <c r="F8" s="1468"/>
      <c r="G8" s="1468"/>
      <c r="H8" s="1468"/>
      <c r="I8" s="1468"/>
      <c r="J8" s="1468"/>
      <c r="K8" s="1468"/>
      <c r="L8" s="1468"/>
      <c r="M8" s="1468"/>
      <c r="N8" s="1468"/>
      <c r="O8" s="1210"/>
      <c r="P8" s="1210"/>
      <c r="Q8" s="1209"/>
      <c r="AI8" s="1206"/>
    </row>
    <row r="9" spans="2:35" ht="3" customHeight="1">
      <c r="B9" s="1209"/>
      <c r="C9" s="1210"/>
      <c r="D9" s="1468"/>
      <c r="E9" s="1468"/>
      <c r="F9" s="1468"/>
      <c r="G9" s="1468"/>
      <c r="H9" s="1468"/>
      <c r="I9" s="1468"/>
      <c r="J9" s="1468"/>
      <c r="K9" s="1468"/>
      <c r="L9" s="1468"/>
      <c r="M9" s="1468"/>
      <c r="N9" s="1468"/>
      <c r="O9" s="1210"/>
      <c r="P9" s="1210"/>
      <c r="Q9" s="1209"/>
      <c r="AI9" s="1206"/>
    </row>
    <row r="10" spans="2:35" ht="6.75" customHeight="1">
      <c r="B10" s="1209"/>
      <c r="C10" s="1210"/>
      <c r="D10" s="1211"/>
      <c r="E10" s="1211"/>
      <c r="F10" s="1211"/>
      <c r="G10" s="1211"/>
      <c r="H10" s="1211"/>
      <c r="I10" s="1211"/>
      <c r="J10" s="1211"/>
      <c r="K10" s="1211"/>
      <c r="L10" s="1211"/>
      <c r="M10" s="1211"/>
      <c r="N10" s="1211"/>
      <c r="O10" s="1210"/>
      <c r="P10" s="1210"/>
      <c r="Q10" s="1209"/>
      <c r="AI10" s="1206"/>
    </row>
    <row r="11" spans="2:35" ht="25.5" customHeight="1">
      <c r="B11" s="1212"/>
      <c r="C11" s="1213"/>
      <c r="D11" s="1212"/>
      <c r="E11" s="1212"/>
      <c r="F11" s="1212"/>
      <c r="G11" s="1212"/>
      <c r="H11" s="1212"/>
      <c r="I11" s="1211"/>
      <c r="J11" s="1469"/>
      <c r="K11" s="1469"/>
      <c r="L11" s="1469"/>
      <c r="M11" s="1469"/>
      <c r="N11" s="1212"/>
      <c r="O11" s="1212"/>
      <c r="P11" s="1212"/>
      <c r="Q11" s="1209"/>
      <c r="X11" s="1214"/>
      <c r="AI11" s="1206"/>
    </row>
    <row r="12" spans="2:35" ht="25.5" customHeight="1">
      <c r="B12" s="1212"/>
      <c r="C12" s="1213" t="s">
        <v>1317</v>
      </c>
      <c r="D12" s="1212"/>
      <c r="E12" s="1212"/>
      <c r="F12" s="1212"/>
      <c r="G12" s="1212"/>
      <c r="H12" s="1212"/>
      <c r="I12" s="1211" t="s">
        <v>1273</v>
      </c>
      <c r="J12" s="1213" t="s">
        <v>1329</v>
      </c>
      <c r="K12" s="1212"/>
      <c r="L12" s="1212"/>
      <c r="M12" s="1212"/>
      <c r="N12" s="1212"/>
      <c r="O12" s="1212"/>
      <c r="P12" s="1212"/>
      <c r="Q12" s="1209"/>
      <c r="X12" s="1214"/>
      <c r="AI12" s="1206"/>
    </row>
    <row r="13" spans="2:35" ht="15.75" customHeight="1">
      <c r="B13" s="1212"/>
      <c r="C13" s="1212"/>
      <c r="D13" s="1212"/>
      <c r="E13" s="1212"/>
      <c r="F13" s="1212"/>
      <c r="G13" s="1212"/>
      <c r="H13" s="1212"/>
      <c r="I13" s="1212"/>
      <c r="J13" s="1212"/>
      <c r="K13" s="1212"/>
      <c r="L13" s="1212"/>
      <c r="M13" s="1212"/>
      <c r="N13" s="1212"/>
      <c r="O13" s="1212"/>
      <c r="P13" s="1212"/>
      <c r="AI13" s="1206"/>
    </row>
    <row r="14" spans="2:35" ht="25.5" customHeight="1">
      <c r="C14" s="1215"/>
      <c r="D14" s="1215"/>
      <c r="E14" s="1215"/>
      <c r="F14" s="1215"/>
      <c r="G14" s="1215"/>
      <c r="H14" s="1215"/>
      <c r="I14" s="1215"/>
      <c r="J14" s="1215"/>
      <c r="K14" s="1215"/>
      <c r="L14" s="1215"/>
      <c r="M14" s="1215"/>
      <c r="N14" s="1215"/>
      <c r="O14" s="1215"/>
      <c r="P14" s="1216"/>
      <c r="Q14" s="1217"/>
      <c r="AI14" s="1206"/>
    </row>
    <row r="15" spans="2:35" ht="25.5" customHeight="1">
      <c r="B15" s="1218"/>
      <c r="C15" s="1219" t="s">
        <v>1318</v>
      </c>
      <c r="D15" s="1220"/>
      <c r="E15" s="1220"/>
      <c r="F15" s="1220"/>
      <c r="G15" s="1212"/>
      <c r="H15" s="1212"/>
      <c r="I15" s="1215"/>
      <c r="J15" s="1215"/>
      <c r="K15" s="1215"/>
      <c r="L15" s="1215"/>
      <c r="M15" s="1215"/>
      <c r="N15" s="1215"/>
      <c r="O15" s="1215"/>
      <c r="P15" s="1221"/>
      <c r="Q15" s="1222"/>
      <c r="AI15" s="1206"/>
    </row>
    <row r="16" spans="2:35" ht="24.75">
      <c r="C16" s="1470" t="str">
        <f>'inspection report'!E7</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D16" s="1471"/>
      <c r="E16" s="1471"/>
      <c r="F16" s="1471"/>
      <c r="G16" s="1471"/>
      <c r="H16" s="1471"/>
      <c r="I16" s="1471"/>
      <c r="J16" s="1471"/>
      <c r="K16" s="1471"/>
      <c r="L16" s="1471"/>
      <c r="M16" s="1471"/>
      <c r="N16" s="1471"/>
      <c r="O16" s="1471"/>
      <c r="P16" s="1471"/>
      <c r="Q16" s="1222"/>
      <c r="AI16" s="1206"/>
    </row>
    <row r="17" spans="3:35" ht="50.25" customHeight="1">
      <c r="C17" s="1471"/>
      <c r="D17" s="1471"/>
      <c r="E17" s="1471"/>
      <c r="F17" s="1471"/>
      <c r="G17" s="1471"/>
      <c r="H17" s="1471"/>
      <c r="I17" s="1471"/>
      <c r="J17" s="1471"/>
      <c r="K17" s="1471"/>
      <c r="L17" s="1471"/>
      <c r="M17" s="1471"/>
      <c r="N17" s="1471"/>
      <c r="O17" s="1471"/>
      <c r="P17" s="1471"/>
      <c r="Q17" s="1222"/>
      <c r="AI17" s="1206"/>
    </row>
    <row r="18" spans="3:35" ht="62.25" customHeight="1">
      <c r="C18" s="1471"/>
      <c r="D18" s="1471"/>
      <c r="E18" s="1471"/>
      <c r="F18" s="1471"/>
      <c r="G18" s="1471"/>
      <c r="H18" s="1471"/>
      <c r="I18" s="1471"/>
      <c r="J18" s="1471"/>
      <c r="K18" s="1471"/>
      <c r="L18" s="1471"/>
      <c r="M18" s="1471"/>
      <c r="N18" s="1471"/>
      <c r="O18" s="1471"/>
      <c r="P18" s="1471"/>
      <c r="Q18" s="1222"/>
      <c r="AI18" s="1206"/>
    </row>
    <row r="19" spans="3:35" ht="39.75" hidden="1" customHeight="1">
      <c r="C19" s="1471"/>
      <c r="D19" s="1471"/>
      <c r="E19" s="1471"/>
      <c r="F19" s="1471"/>
      <c r="G19" s="1471"/>
      <c r="H19" s="1471"/>
      <c r="I19" s="1471"/>
      <c r="J19" s="1471"/>
      <c r="K19" s="1471"/>
      <c r="L19" s="1471"/>
      <c r="M19" s="1471"/>
      <c r="N19" s="1471"/>
      <c r="O19" s="1471"/>
      <c r="P19" s="1471"/>
      <c r="Q19" s="1222"/>
      <c r="AI19" s="1206"/>
    </row>
    <row r="20" spans="3:35" ht="25.5" customHeight="1">
      <c r="C20" s="1223"/>
      <c r="D20" s="1215"/>
      <c r="E20" s="1215"/>
      <c r="F20" s="1215"/>
      <c r="G20" s="1215"/>
      <c r="H20" s="1215"/>
      <c r="I20" s="1215"/>
      <c r="J20" s="1215"/>
      <c r="K20" s="1215"/>
      <c r="L20" s="1215"/>
      <c r="M20" s="1215"/>
      <c r="N20" s="1215"/>
      <c r="O20" s="1215"/>
      <c r="P20" s="1215"/>
      <c r="Q20" s="1222"/>
      <c r="AI20" s="1206"/>
    </row>
    <row r="21" spans="3:35" s="1224" customFormat="1" ht="25.5" customHeight="1">
      <c r="D21" s="1472" t="s">
        <v>1319</v>
      </c>
      <c r="E21" s="1472"/>
      <c r="F21" s="1472"/>
      <c r="G21" s="1472"/>
      <c r="H21" s="1472"/>
      <c r="I21" s="1472"/>
      <c r="J21" s="1472"/>
      <c r="K21" s="1225" t="s">
        <v>1273</v>
      </c>
      <c r="L21" s="1226" t="s">
        <v>651</v>
      </c>
      <c r="M21" s="1246" t="str">
        <f>'Spec Report'!F3</f>
        <v xml:space="preserve">100.00 Lakhs </v>
      </c>
      <c r="N21" s="1246"/>
      <c r="O21" s="1227"/>
      <c r="P21" s="1228"/>
      <c r="Q21" s="1229"/>
      <c r="AI21" s="1206"/>
    </row>
    <row r="22" spans="3:35" s="1224" customFormat="1" ht="25.5" hidden="1" customHeight="1">
      <c r="C22" s="1230"/>
      <c r="D22" s="1472" t="s">
        <v>1320</v>
      </c>
      <c r="E22" s="1472"/>
      <c r="F22" s="1472"/>
      <c r="G22" s="1472"/>
      <c r="H22" s="1472"/>
      <c r="I22" s="1472"/>
      <c r="J22" s="1472"/>
      <c r="K22" s="1225" t="s">
        <v>1273</v>
      </c>
      <c r="L22" s="1473">
        <f>+'[37]Input Data'!$J$5</f>
        <v>2</v>
      </c>
      <c r="M22" s="1473"/>
      <c r="N22" s="1226" t="s">
        <v>1321</v>
      </c>
      <c r="O22" s="1230"/>
      <c r="P22" s="1230"/>
      <c r="Q22" s="1231"/>
      <c r="AI22" s="1206"/>
    </row>
    <row r="23" spans="3:35" s="1236" customFormat="1" ht="25.5" customHeight="1">
      <c r="C23" s="1232"/>
      <c r="D23" s="1223"/>
      <c r="E23" s="1223"/>
      <c r="F23" s="1223"/>
      <c r="G23" s="1223"/>
      <c r="H23" s="1223"/>
      <c r="I23" s="1223"/>
      <c r="J23" s="1223"/>
      <c r="K23" s="1223"/>
      <c r="L23" s="1223"/>
      <c r="M23" s="1223"/>
      <c r="N23" s="1232"/>
      <c r="O23" s="1233"/>
      <c r="P23" s="1234"/>
      <c r="Q23" s="1235"/>
      <c r="AI23" s="1206"/>
    </row>
    <row r="24" spans="3:35" s="1236" customFormat="1" ht="8.25" customHeight="1">
      <c r="C24" s="1237"/>
      <c r="D24" s="1223"/>
      <c r="E24" s="1223"/>
      <c r="F24" s="1223"/>
      <c r="G24" s="1223"/>
      <c r="H24" s="1223"/>
      <c r="I24" s="1223"/>
      <c r="J24" s="1223"/>
      <c r="K24" s="1223"/>
      <c r="L24" s="1223"/>
      <c r="M24" s="1223"/>
      <c r="N24" s="1238"/>
      <c r="O24" s="1238"/>
      <c r="P24" s="1238"/>
      <c r="Q24" s="1239"/>
      <c r="AI24" s="1206"/>
    </row>
    <row r="25" spans="3:35" s="1236" customFormat="1" ht="25.5" customHeight="1">
      <c r="C25" s="1240"/>
      <c r="D25" s="1240"/>
      <c r="E25" s="1240"/>
      <c r="F25" s="1223"/>
      <c r="G25" s="1223"/>
      <c r="H25" s="1223"/>
      <c r="I25" s="1223"/>
      <c r="J25" s="1223"/>
      <c r="K25" s="1223"/>
      <c r="L25" s="1223"/>
      <c r="M25" s="1240"/>
      <c r="N25" s="1240"/>
      <c r="O25" s="1240"/>
      <c r="P25" s="1240"/>
      <c r="Q25" s="1241"/>
      <c r="AI25" s="1206"/>
    </row>
    <row r="26" spans="3:35" s="1236" customFormat="1" ht="25.5" customHeight="1">
      <c r="C26" s="1474" t="s">
        <v>1322</v>
      </c>
      <c r="D26" s="1474"/>
      <c r="E26" s="1474"/>
      <c r="F26" s="1474"/>
      <c r="G26" s="1242" t="s">
        <v>1323</v>
      </c>
      <c r="H26" s="1474" t="s">
        <v>1330</v>
      </c>
      <c r="I26" s="1474"/>
      <c r="J26" s="1474"/>
      <c r="K26" s="1474"/>
      <c r="L26" s="1474"/>
      <c r="M26" s="1474"/>
      <c r="N26" s="1474"/>
      <c r="O26" s="1474"/>
      <c r="P26" s="1474"/>
      <c r="Q26" s="1241"/>
      <c r="AI26" s="1206"/>
    </row>
    <row r="27" spans="3:35" s="1236" customFormat="1" ht="25.5" customHeight="1">
      <c r="C27" s="1474" t="s">
        <v>1324</v>
      </c>
      <c r="D27" s="1474"/>
      <c r="E27" s="1474"/>
      <c r="F27" s="1474"/>
      <c r="G27" s="1242" t="s">
        <v>1323</v>
      </c>
      <c r="H27" s="1474" t="s">
        <v>1330</v>
      </c>
      <c r="I27" s="1474"/>
      <c r="J27" s="1474"/>
      <c r="K27" s="1474"/>
      <c r="L27" s="1474"/>
      <c r="M27" s="1474"/>
      <c r="N27" s="1474"/>
      <c r="O27" s="1474"/>
      <c r="P27" s="1474"/>
      <c r="Q27" s="1241"/>
      <c r="AI27" s="1206"/>
    </row>
    <row r="28" spans="3:35" s="1236" customFormat="1" ht="25.5" customHeight="1">
      <c r="C28" s="1474" t="s">
        <v>1325</v>
      </c>
      <c r="D28" s="1474"/>
      <c r="E28" s="1474"/>
      <c r="F28" s="1474"/>
      <c r="G28" s="1242" t="s">
        <v>1323</v>
      </c>
      <c r="H28" s="1474" t="s">
        <v>1331</v>
      </c>
      <c r="I28" s="1474"/>
      <c r="J28" s="1474"/>
      <c r="K28" s="1474"/>
      <c r="L28" s="1474"/>
      <c r="M28" s="1474"/>
      <c r="N28" s="1474"/>
      <c r="O28" s="1474"/>
      <c r="P28" s="1243"/>
      <c r="Q28" s="1241"/>
      <c r="AI28" s="1206"/>
    </row>
    <row r="29" spans="3:35" s="1236" customFormat="1" ht="25.5" customHeight="1">
      <c r="C29" s="1474" t="s">
        <v>1326</v>
      </c>
      <c r="D29" s="1474"/>
      <c r="E29" s="1474"/>
      <c r="F29" s="1474"/>
      <c r="G29" s="1242" t="s">
        <v>1323</v>
      </c>
      <c r="H29" s="1474" t="s">
        <v>1332</v>
      </c>
      <c r="I29" s="1474"/>
      <c r="J29" s="1474"/>
      <c r="K29" s="1474"/>
      <c r="L29" s="1474"/>
      <c r="M29" s="1474"/>
      <c r="N29" s="1474"/>
      <c r="O29" s="1474"/>
      <c r="P29" s="1244"/>
      <c r="Q29" s="1241"/>
      <c r="AI29" s="1206"/>
    </row>
    <row r="30" spans="3:35" s="1236" customFormat="1" ht="25.5" customHeight="1">
      <c r="C30" s="1474" t="s">
        <v>1327</v>
      </c>
      <c r="D30" s="1474"/>
      <c r="E30" s="1474"/>
      <c r="F30" s="1474"/>
      <c r="G30" s="1242" t="s">
        <v>1323</v>
      </c>
      <c r="H30" s="1474" t="s">
        <v>1291</v>
      </c>
      <c r="I30" s="1474"/>
      <c r="J30" s="1474"/>
      <c r="K30" s="1474"/>
      <c r="L30" s="1474"/>
      <c r="M30" s="1474"/>
      <c r="N30" s="1474"/>
      <c r="O30" s="1474"/>
      <c r="P30" s="1474"/>
      <c r="Q30" s="1241"/>
      <c r="AI30" s="1206"/>
    </row>
    <row r="31" spans="3:35" s="1236" customFormat="1" ht="25.5" customHeight="1">
      <c r="C31" s="1241"/>
      <c r="D31" s="1241"/>
      <c r="E31" s="1241"/>
      <c r="F31" s="1241"/>
      <c r="G31" s="1241"/>
      <c r="H31" s="1241"/>
      <c r="I31" s="1241"/>
      <c r="J31" s="1241"/>
      <c r="K31" s="1241"/>
      <c r="L31" s="1241"/>
      <c r="M31" s="1241"/>
      <c r="N31" s="1241"/>
      <c r="O31" s="1241"/>
      <c r="P31" s="1241"/>
      <c r="Q31" s="1241"/>
      <c r="AI31" s="1206"/>
    </row>
    <row r="32" spans="3:35" s="1236" customFormat="1" ht="25.5" customHeight="1">
      <c r="C32" s="1241"/>
      <c r="D32" s="1241"/>
      <c r="E32" s="1241"/>
      <c r="F32" s="1241"/>
      <c r="G32" s="1241"/>
      <c r="H32" s="1241"/>
      <c r="I32" s="1241"/>
      <c r="J32" s="1241"/>
      <c r="K32" s="1241"/>
      <c r="L32" s="1241"/>
      <c r="M32" s="1241"/>
      <c r="N32" s="1241"/>
      <c r="O32" s="1241"/>
      <c r="P32" s="1241"/>
      <c r="Q32" s="1241"/>
      <c r="AI32" s="1206"/>
    </row>
    <row r="33" spans="8:35">
      <c r="AI33" s="1206"/>
    </row>
    <row r="34" spans="8:35">
      <c r="AI34" s="1206"/>
    </row>
    <row r="35" spans="8:35">
      <c r="AI35" s="1206"/>
    </row>
    <row r="36" spans="8:35">
      <c r="AI36" s="1206"/>
    </row>
    <row r="37" spans="8:35">
      <c r="AI37" s="1206"/>
    </row>
    <row r="38" spans="8:35">
      <c r="H38" s="1245"/>
      <c r="AI38" s="1206"/>
    </row>
    <row r="39" spans="8:35">
      <c r="AI39" s="1206"/>
    </row>
    <row r="40" spans="8:35">
      <c r="AI40" s="1206"/>
    </row>
    <row r="41" spans="8:35">
      <c r="AI41" s="1206"/>
    </row>
    <row r="42" spans="8:35">
      <c r="AI42" s="1206"/>
    </row>
    <row r="43" spans="8:35">
      <c r="AI43" s="1206"/>
    </row>
    <row r="44" spans="8:35">
      <c r="AI44" s="1206"/>
    </row>
    <row r="45" spans="8:35">
      <c r="AI45" s="1206"/>
    </row>
    <row r="46" spans="8:35">
      <c r="AI46" s="1206"/>
    </row>
    <row r="47" spans="8:35">
      <c r="AI47" s="1206"/>
    </row>
    <row r="48" spans="8:35">
      <c r="AI48" s="1206"/>
    </row>
    <row r="49" spans="35:35">
      <c r="AI49" s="1206"/>
    </row>
    <row r="50" spans="35:35">
      <c r="AI50" s="1206"/>
    </row>
    <row r="51" spans="35:35">
      <c r="AI51" s="1206"/>
    </row>
    <row r="52" spans="35:35">
      <c r="AI52" s="1206"/>
    </row>
    <row r="53" spans="35:35">
      <c r="AI53" s="1206"/>
    </row>
    <row r="54" spans="35:35">
      <c r="AI54" s="1206"/>
    </row>
    <row r="55" spans="35:35">
      <c r="AI55" s="1206"/>
    </row>
    <row r="56" spans="35:35">
      <c r="AI56" s="1206"/>
    </row>
    <row r="57" spans="35:35">
      <c r="AI57" s="1206"/>
    </row>
    <row r="58" spans="35:35">
      <c r="AI58" s="1206"/>
    </row>
    <row r="59" spans="35:35">
      <c r="AI59" s="1206"/>
    </row>
    <row r="60" spans="35:35">
      <c r="AI60" s="1206"/>
    </row>
    <row r="61" spans="35:35">
      <c r="AI61" s="1206"/>
    </row>
    <row r="62" spans="35:35">
      <c r="AI62" s="1206"/>
    </row>
    <row r="63" spans="35:35">
      <c r="AI63" s="1206"/>
    </row>
    <row r="64" spans="35:35">
      <c r="AI64" s="1206"/>
    </row>
    <row r="65" spans="35:35">
      <c r="AI65" s="1206"/>
    </row>
    <row r="66" spans="35:35">
      <c r="AI66" s="1206"/>
    </row>
    <row r="67" spans="35:35">
      <c r="AI67" s="1206"/>
    </row>
    <row r="68" spans="35:35">
      <c r="AI68" s="1206"/>
    </row>
    <row r="69" spans="35:35">
      <c r="AI69" s="1206"/>
    </row>
    <row r="70" spans="35:35">
      <c r="AI70" s="1206"/>
    </row>
    <row r="71" spans="35:35">
      <c r="AI71" s="1206"/>
    </row>
    <row r="72" spans="35:35">
      <c r="AI72" s="1206"/>
    </row>
    <row r="73" spans="35:35">
      <c r="AI73" s="1206"/>
    </row>
    <row r="74" spans="35:35">
      <c r="AI74" s="1206"/>
    </row>
    <row r="75" spans="35:35">
      <c r="AI75" s="1206"/>
    </row>
    <row r="76" spans="35:35">
      <c r="AI76" s="1206"/>
    </row>
    <row r="77" spans="35:35">
      <c r="AI77" s="1206"/>
    </row>
    <row r="78" spans="35:35">
      <c r="AI78" s="1206"/>
    </row>
    <row r="79" spans="35:35">
      <c r="AI79" s="1206"/>
    </row>
    <row r="80" spans="35:35">
      <c r="AI80" s="1206"/>
    </row>
    <row r="81" spans="35:35">
      <c r="AI81" s="1206"/>
    </row>
    <row r="82" spans="35:35">
      <c r="AI82" s="1206"/>
    </row>
    <row r="83" spans="35:35">
      <c r="AI83" s="1206"/>
    </row>
    <row r="84" spans="35:35">
      <c r="AI84" s="1206"/>
    </row>
    <row r="85" spans="35:35">
      <c r="AI85" s="1206"/>
    </row>
    <row r="86" spans="35:35">
      <c r="AI86" s="1206"/>
    </row>
    <row r="87" spans="35:35">
      <c r="AI87" s="1206"/>
    </row>
    <row r="88" spans="35:35">
      <c r="AI88" s="1206"/>
    </row>
    <row r="89" spans="35:35">
      <c r="AI89" s="1206"/>
    </row>
    <row r="90" spans="35:35">
      <c r="AI90" s="1206"/>
    </row>
    <row r="91" spans="35:35">
      <c r="AI91" s="1206"/>
    </row>
    <row r="92" spans="35:35">
      <c r="AI92" s="1206"/>
    </row>
    <row r="93" spans="35:35">
      <c r="AI93" s="1206"/>
    </row>
    <row r="94" spans="35:35">
      <c r="AI94" s="1206"/>
    </row>
    <row r="95" spans="35:35">
      <c r="AI95" s="1206"/>
    </row>
    <row r="96" spans="35:35">
      <c r="AI96" s="1206"/>
    </row>
    <row r="97" spans="35:35">
      <c r="AI97" s="1206"/>
    </row>
    <row r="98" spans="35:35">
      <c r="AI98" s="1206"/>
    </row>
    <row r="99" spans="35:35">
      <c r="AI99" s="1206"/>
    </row>
    <row r="100" spans="35:35">
      <c r="AI100" s="1206"/>
    </row>
    <row r="101" spans="35:35">
      <c r="AI101" s="1206"/>
    </row>
    <row r="102" spans="35:35">
      <c r="AI102" s="1206"/>
    </row>
    <row r="103" spans="35:35">
      <c r="AI103" s="1206"/>
    </row>
    <row r="104" spans="35:35">
      <c r="AI104" s="1206"/>
    </row>
    <row r="105" spans="35:35">
      <c r="AI105" s="1206"/>
    </row>
    <row r="106" spans="35:35">
      <c r="AI106" s="1206"/>
    </row>
    <row r="107" spans="35:35">
      <c r="AI107" s="1206"/>
    </row>
    <row r="108" spans="35:35">
      <c r="AI108" s="1206"/>
    </row>
    <row r="109" spans="35:35">
      <c r="AI109" s="1206"/>
    </row>
    <row r="110" spans="35:35">
      <c r="AI110" s="1206"/>
    </row>
    <row r="111" spans="35:35">
      <c r="AI111" s="1206"/>
    </row>
    <row r="112" spans="35:35">
      <c r="AI112" s="1206"/>
    </row>
    <row r="113" spans="35:35">
      <c r="AI113" s="1206"/>
    </row>
    <row r="114" spans="35:35">
      <c r="AI114" s="1206"/>
    </row>
    <row r="115" spans="35:35">
      <c r="AI115" s="1206"/>
    </row>
    <row r="116" spans="35:35">
      <c r="AI116" s="1206"/>
    </row>
    <row r="117" spans="35:35">
      <c r="AI117" s="1206"/>
    </row>
    <row r="118" spans="35:35">
      <c r="AI118" s="1206"/>
    </row>
    <row r="119" spans="35:35">
      <c r="AI119" s="1206"/>
    </row>
    <row r="120" spans="35:35">
      <c r="AI120" s="1206"/>
    </row>
    <row r="121" spans="35:35">
      <c r="AI121" s="1206"/>
    </row>
    <row r="122" spans="35:35">
      <c r="AI122" s="1206"/>
    </row>
    <row r="123" spans="35:35">
      <c r="AI123" s="1206"/>
    </row>
    <row r="124" spans="35:35">
      <c r="AI124" s="1206"/>
    </row>
    <row r="125" spans="35:35">
      <c r="AI125" s="1206"/>
    </row>
    <row r="126" spans="35:35">
      <c r="AI126" s="1206"/>
    </row>
    <row r="127" spans="35:35">
      <c r="AI127" s="1206"/>
    </row>
    <row r="128" spans="35:35">
      <c r="AI128" s="1206"/>
    </row>
    <row r="129" spans="35:35">
      <c r="AI129" s="1206"/>
    </row>
    <row r="130" spans="35:35">
      <c r="AI130" s="1206"/>
    </row>
    <row r="131" spans="35:35">
      <c r="AI131" s="1206"/>
    </row>
    <row r="132" spans="35:35">
      <c r="AI132" s="1206"/>
    </row>
    <row r="133" spans="35:35">
      <c r="AI133" s="1206"/>
    </row>
    <row r="134" spans="35:35">
      <c r="AI134" s="1206"/>
    </row>
    <row r="135" spans="35:35">
      <c r="AI135" s="1206"/>
    </row>
    <row r="136" spans="35:35">
      <c r="AI136" s="1206"/>
    </row>
    <row r="137" spans="35:35">
      <c r="AI137" s="1206"/>
    </row>
    <row r="138" spans="35:35">
      <c r="AI138" s="1206"/>
    </row>
    <row r="139" spans="35:35">
      <c r="AI139" s="1206"/>
    </row>
    <row r="140" spans="35:35">
      <c r="AI140" s="1206"/>
    </row>
    <row r="141" spans="35:35">
      <c r="AI141" s="1206"/>
    </row>
    <row r="142" spans="35:35">
      <c r="AI142" s="1206"/>
    </row>
    <row r="143" spans="35:35">
      <c r="AI143" s="1206"/>
    </row>
    <row r="144" spans="35:35">
      <c r="AI144" s="1206"/>
    </row>
    <row r="145" spans="35:35">
      <c r="AI145" s="1206"/>
    </row>
    <row r="146" spans="35:35">
      <c r="AI146" s="1206"/>
    </row>
    <row r="147" spans="35:35">
      <c r="AI147" s="1206"/>
    </row>
    <row r="148" spans="35:35">
      <c r="AI148" s="1206"/>
    </row>
    <row r="149" spans="35:35">
      <c r="AI149" s="1206"/>
    </row>
    <row r="150" spans="35:35">
      <c r="AI150" s="1206"/>
    </row>
    <row r="151" spans="35:35">
      <c r="AI151" s="1206"/>
    </row>
    <row r="152" spans="35:35">
      <c r="AI152" s="1206"/>
    </row>
    <row r="153" spans="35:35">
      <c r="AI153" s="1206"/>
    </row>
    <row r="154" spans="35:35">
      <c r="AI154" s="1206"/>
    </row>
    <row r="155" spans="35:35">
      <c r="AI155" s="1206"/>
    </row>
    <row r="156" spans="35:35">
      <c r="AI156" s="1206"/>
    </row>
    <row r="157" spans="35:35">
      <c r="AI157" s="1206"/>
    </row>
    <row r="158" spans="35:35">
      <c r="AI158" s="1206"/>
    </row>
    <row r="159" spans="35:35">
      <c r="AI159" s="1206"/>
    </row>
    <row r="160" spans="35:35">
      <c r="AI160" s="1206"/>
    </row>
    <row r="161" spans="35:35">
      <c r="AI161" s="1206"/>
    </row>
    <row r="162" spans="35:35">
      <c r="AI162" s="1206"/>
    </row>
    <row r="163" spans="35:35">
      <c r="AI163" s="1206"/>
    </row>
    <row r="164" spans="35:35">
      <c r="AI164" s="1206"/>
    </row>
    <row r="165" spans="35:35">
      <c r="AI165" s="1206"/>
    </row>
    <row r="166" spans="35:35">
      <c r="AI166" s="1206"/>
    </row>
    <row r="167" spans="35:35">
      <c r="AI167" s="1206"/>
    </row>
    <row r="168" spans="35:35">
      <c r="AI168" s="1206"/>
    </row>
    <row r="169" spans="35:35">
      <c r="AI169" s="1206"/>
    </row>
    <row r="170" spans="35:35">
      <c r="AI170" s="1206"/>
    </row>
    <row r="171" spans="35:35">
      <c r="AI171" s="1206"/>
    </row>
    <row r="172" spans="35:35">
      <c r="AI172" s="1206"/>
    </row>
    <row r="173" spans="35:35">
      <c r="AI173" s="1206"/>
    </row>
    <row r="174" spans="35:35">
      <c r="AI174" s="1206"/>
    </row>
    <row r="175" spans="35:35">
      <c r="AI175" s="1206"/>
    </row>
    <row r="176" spans="35:35">
      <c r="AI176" s="1206"/>
    </row>
    <row r="177" spans="35:35">
      <c r="AI177" s="1206"/>
    </row>
    <row r="178" spans="35:35">
      <c r="AI178" s="1206"/>
    </row>
    <row r="179" spans="35:35">
      <c r="AI179" s="1206"/>
    </row>
    <row r="180" spans="35:35">
      <c r="AI180" s="1206"/>
    </row>
    <row r="181" spans="35:35">
      <c r="AI181" s="1206"/>
    </row>
    <row r="182" spans="35:35">
      <c r="AI182" s="1206"/>
    </row>
    <row r="183" spans="35:35">
      <c r="AI183" s="1206"/>
    </row>
    <row r="184" spans="35:35">
      <c r="AI184" s="1206"/>
    </row>
    <row r="185" spans="35:35">
      <c r="AI185" s="1206"/>
    </row>
    <row r="186" spans="35:35">
      <c r="AI186" s="1206"/>
    </row>
    <row r="187" spans="35:35">
      <c r="AI187" s="1206"/>
    </row>
    <row r="188" spans="35:35">
      <c r="AI188" s="1206"/>
    </row>
    <row r="189" spans="35:35">
      <c r="AI189" s="1206"/>
    </row>
    <row r="190" spans="35:35">
      <c r="AI190" s="1206"/>
    </row>
    <row r="191" spans="35:35">
      <c r="AI191" s="1206"/>
    </row>
    <row r="192" spans="35:35">
      <c r="AI192" s="1206"/>
    </row>
    <row r="193" spans="35:35">
      <c r="AI193" s="1206"/>
    </row>
    <row r="194" spans="35:35">
      <c r="AI194" s="1206"/>
    </row>
    <row r="195" spans="35:35">
      <c r="AI195" s="1206"/>
    </row>
    <row r="196" spans="35:35">
      <c r="AI196" s="1206"/>
    </row>
    <row r="197" spans="35:35">
      <c r="AI197" s="1206"/>
    </row>
    <row r="198" spans="35:35">
      <c r="AI198" s="1206"/>
    </row>
    <row r="199" spans="35:35">
      <c r="AI199" s="1206"/>
    </row>
    <row r="200" spans="35:35">
      <c r="AI200" s="1206"/>
    </row>
    <row r="201" spans="35:35">
      <c r="AI201" s="1206"/>
    </row>
    <row r="202" spans="35:35">
      <c r="AI202" s="1206"/>
    </row>
    <row r="203" spans="35:35">
      <c r="AI203" s="1206"/>
    </row>
    <row r="204" spans="35:35">
      <c r="AI204" s="1206"/>
    </row>
    <row r="205" spans="35:35">
      <c r="AI205" s="1206"/>
    </row>
    <row r="206" spans="35:35">
      <c r="AI206" s="1206"/>
    </row>
    <row r="207" spans="35:35">
      <c r="AI207" s="1206"/>
    </row>
    <row r="208" spans="35:35">
      <c r="AI208" s="1206"/>
    </row>
    <row r="209" spans="35:35">
      <c r="AI209" s="1206"/>
    </row>
    <row r="210" spans="35:35">
      <c r="AI210" s="1206"/>
    </row>
    <row r="211" spans="35:35">
      <c r="AI211" s="1206"/>
    </row>
    <row r="212" spans="35:35">
      <c r="AI212" s="1206"/>
    </row>
    <row r="213" spans="35:35">
      <c r="AI213" s="1206"/>
    </row>
    <row r="214" spans="35:35">
      <c r="AI214" s="1206"/>
    </row>
    <row r="215" spans="35:35">
      <c r="AI215" s="1206"/>
    </row>
    <row r="216" spans="35:35">
      <c r="AI216" s="1206"/>
    </row>
    <row r="217" spans="35:35">
      <c r="AI217" s="1206"/>
    </row>
    <row r="218" spans="35:35">
      <c r="AI218" s="1206"/>
    </row>
    <row r="219" spans="35:35">
      <c r="AI219" s="1206"/>
    </row>
    <row r="220" spans="35:35">
      <c r="AI220" s="1206"/>
    </row>
    <row r="221" spans="35:35">
      <c r="AI221" s="1206"/>
    </row>
    <row r="222" spans="35:35">
      <c r="AI222" s="1206"/>
    </row>
    <row r="223" spans="35:35">
      <c r="AI223" s="1206"/>
    </row>
    <row r="224" spans="35:35">
      <c r="AI224" s="1206"/>
    </row>
    <row r="225" spans="35:35">
      <c r="AI225" s="1206"/>
    </row>
    <row r="226" spans="35:35">
      <c r="AI226" s="1206"/>
    </row>
    <row r="227" spans="35:35">
      <c r="AI227" s="1206"/>
    </row>
    <row r="228" spans="35:35">
      <c r="AI228" s="1206"/>
    </row>
    <row r="229" spans="35:35">
      <c r="AI229" s="1206"/>
    </row>
    <row r="230" spans="35:35">
      <c r="AI230" s="1206"/>
    </row>
    <row r="231" spans="35:35">
      <c r="AI231" s="1206"/>
    </row>
    <row r="232" spans="35:35">
      <c r="AI232" s="1206"/>
    </row>
    <row r="233" spans="35:35">
      <c r="AI233" s="1206"/>
    </row>
    <row r="234" spans="35:35">
      <c r="AI234" s="1206"/>
    </row>
    <row r="235" spans="35:35">
      <c r="AI235" s="1206"/>
    </row>
    <row r="236" spans="35:35">
      <c r="AI236" s="1206"/>
    </row>
    <row r="237" spans="35:35">
      <c r="AI237" s="1206"/>
    </row>
    <row r="238" spans="35:35">
      <c r="AI238" s="1206"/>
    </row>
    <row r="239" spans="35:35">
      <c r="AI239" s="1206"/>
    </row>
    <row r="240" spans="35:35">
      <c r="AI240" s="1206"/>
    </row>
    <row r="241" spans="35:35">
      <c r="AI241" s="1206"/>
    </row>
    <row r="242" spans="35:35">
      <c r="AI242" s="1206"/>
    </row>
    <row r="243" spans="35:35">
      <c r="AI243" s="1206"/>
    </row>
    <row r="244" spans="35:35">
      <c r="AI244" s="1206"/>
    </row>
    <row r="245" spans="35:35">
      <c r="AI245" s="1206"/>
    </row>
    <row r="246" spans="35:35">
      <c r="AI246" s="1206"/>
    </row>
    <row r="247" spans="35:35">
      <c r="AI247" s="1206"/>
    </row>
    <row r="248" spans="35:35">
      <c r="AI248" s="1206"/>
    </row>
    <row r="249" spans="35:35">
      <c r="AI249" s="1206"/>
    </row>
    <row r="250" spans="35:35">
      <c r="AI250" s="1206"/>
    </row>
    <row r="251" spans="35:35">
      <c r="AI251" s="1206"/>
    </row>
    <row r="252" spans="35:35">
      <c r="AI252" s="1206"/>
    </row>
    <row r="253" spans="35:35">
      <c r="AI253" s="1206"/>
    </row>
    <row r="254" spans="35:35">
      <c r="AI254" s="1206"/>
    </row>
    <row r="255" spans="35:35">
      <c r="AI255" s="1206"/>
    </row>
    <row r="256" spans="35:35">
      <c r="AI256" s="1206"/>
    </row>
    <row r="257" spans="35:35">
      <c r="AI257" s="1206"/>
    </row>
    <row r="258" spans="35:35">
      <c r="AI258" s="1206"/>
    </row>
    <row r="259" spans="35:35">
      <c r="AI259" s="1206"/>
    </row>
    <row r="260" spans="35:35">
      <c r="AI260" s="1206"/>
    </row>
    <row r="261" spans="35:35">
      <c r="AI261" s="1206"/>
    </row>
    <row r="262" spans="35:35">
      <c r="AI262" s="1206"/>
    </row>
    <row r="263" spans="35:35">
      <c r="AI263" s="1206"/>
    </row>
    <row r="264" spans="35:35">
      <c r="AI264" s="1206"/>
    </row>
    <row r="265" spans="35:35">
      <c r="AI265" s="1206"/>
    </row>
    <row r="266" spans="35:35">
      <c r="AI266" s="1206"/>
    </row>
    <row r="267" spans="35:35">
      <c r="AI267" s="1206"/>
    </row>
    <row r="268" spans="35:35">
      <c r="AI268" s="1206"/>
    </row>
    <row r="269" spans="35:35">
      <c r="AI269" s="1206"/>
    </row>
    <row r="270" spans="35:35">
      <c r="AI270" s="1206"/>
    </row>
    <row r="271" spans="35:35">
      <c r="AI271" s="1206"/>
    </row>
    <row r="272" spans="35:35">
      <c r="AI272" s="1206"/>
    </row>
    <row r="273" spans="35:35">
      <c r="AI273" s="1206"/>
    </row>
    <row r="274" spans="35:35">
      <c r="AI274" s="1206"/>
    </row>
    <row r="275" spans="35:35">
      <c r="AI275" s="1206"/>
    </row>
    <row r="276" spans="35:35">
      <c r="AI276" s="1206"/>
    </row>
    <row r="277" spans="35:35">
      <c r="AI277" s="1206"/>
    </row>
    <row r="278" spans="35:35">
      <c r="AI278" s="1206"/>
    </row>
    <row r="279" spans="35:35">
      <c r="AI279" s="1206"/>
    </row>
    <row r="280" spans="35:35">
      <c r="AI280" s="1206"/>
    </row>
    <row r="281" spans="35:35">
      <c r="AI281" s="1206"/>
    </row>
    <row r="282" spans="35:35">
      <c r="AI282" s="1206"/>
    </row>
    <row r="283" spans="35:35">
      <c r="AI283" s="1206"/>
    </row>
    <row r="284" spans="35:35">
      <c r="AI284" s="1206"/>
    </row>
    <row r="285" spans="35:35">
      <c r="AI285" s="1206"/>
    </row>
    <row r="286" spans="35:35">
      <c r="AI286" s="1206"/>
    </row>
    <row r="287" spans="35:35">
      <c r="AI287" s="1206"/>
    </row>
    <row r="288" spans="35:35">
      <c r="AI288" s="1206"/>
    </row>
    <row r="289" spans="35:35">
      <c r="AI289" s="1206"/>
    </row>
    <row r="290" spans="35:35">
      <c r="AI290" s="1206"/>
    </row>
    <row r="291" spans="35:35">
      <c r="AI291" s="1206"/>
    </row>
    <row r="292" spans="35:35">
      <c r="AI292" s="1206"/>
    </row>
    <row r="293" spans="35:35">
      <c r="AI293" s="1206"/>
    </row>
    <row r="294" spans="35:35">
      <c r="AI294" s="1206"/>
    </row>
    <row r="295" spans="35:35">
      <c r="AI295" s="1206"/>
    </row>
    <row r="296" spans="35:35">
      <c r="AI296" s="1206"/>
    </row>
    <row r="297" spans="35:35">
      <c r="AI297" s="1206"/>
    </row>
    <row r="298" spans="35:35">
      <c r="AI298" s="1206"/>
    </row>
    <row r="299" spans="35:35">
      <c r="AI299" s="1206"/>
    </row>
    <row r="300" spans="35:35">
      <c r="AI300" s="1206"/>
    </row>
    <row r="301" spans="35:35">
      <c r="AI301" s="1206"/>
    </row>
    <row r="302" spans="35:35">
      <c r="AI302" s="1206"/>
    </row>
    <row r="303" spans="35:35">
      <c r="AI303" s="1206"/>
    </row>
    <row r="304" spans="35:35">
      <c r="AI304" s="1206"/>
    </row>
    <row r="305" spans="35:35">
      <c r="AI305" s="1206"/>
    </row>
    <row r="306" spans="35:35">
      <c r="AI306" s="1206"/>
    </row>
    <row r="307" spans="35:35">
      <c r="AI307" s="1206"/>
    </row>
    <row r="308" spans="35:35">
      <c r="AI308" s="1206"/>
    </row>
    <row r="309" spans="35:35">
      <c r="AI309" s="1206"/>
    </row>
    <row r="310" spans="35:35">
      <c r="AI310" s="1206"/>
    </row>
    <row r="311" spans="35:35">
      <c r="AI311" s="1206"/>
    </row>
    <row r="312" spans="35:35">
      <c r="AI312" s="1206"/>
    </row>
    <row r="313" spans="35:35">
      <c r="AI313" s="1206"/>
    </row>
    <row r="314" spans="35:35">
      <c r="AI314" s="1206"/>
    </row>
    <row r="315" spans="35:35">
      <c r="AI315" s="1206"/>
    </row>
    <row r="316" spans="35:35">
      <c r="AI316" s="1206"/>
    </row>
    <row r="317" spans="35:35">
      <c r="AI317" s="1206"/>
    </row>
    <row r="318" spans="35:35">
      <c r="AI318" s="1206"/>
    </row>
    <row r="319" spans="35:35">
      <c r="AI319" s="1206"/>
    </row>
    <row r="320" spans="35:35">
      <c r="AI320" s="1206"/>
    </row>
    <row r="321" spans="35:35">
      <c r="AI321" s="1206"/>
    </row>
    <row r="322" spans="35:35">
      <c r="AI322" s="1206"/>
    </row>
    <row r="323" spans="35:35">
      <c r="AI323" s="1206"/>
    </row>
    <row r="324" spans="35:35">
      <c r="AI324" s="1206"/>
    </row>
    <row r="325" spans="35:35">
      <c r="AI325" s="1206"/>
    </row>
    <row r="326" spans="35:35">
      <c r="AI326" s="1206"/>
    </row>
    <row r="327" spans="35:35">
      <c r="AI327" s="1206"/>
    </row>
    <row r="328" spans="35:35">
      <c r="AI328" s="1206"/>
    </row>
    <row r="329" spans="35:35">
      <c r="AI329" s="1206"/>
    </row>
    <row r="330" spans="35:35">
      <c r="AI330" s="1206"/>
    </row>
    <row r="331" spans="35:35">
      <c r="AI331" s="1206"/>
    </row>
    <row r="332" spans="35:35">
      <c r="AI332" s="1206"/>
    </row>
    <row r="333" spans="35:35">
      <c r="AI333" s="1206"/>
    </row>
    <row r="334" spans="35:35">
      <c r="AI334" s="1206"/>
    </row>
    <row r="335" spans="35:35">
      <c r="AI335" s="1206"/>
    </row>
    <row r="336" spans="35:35">
      <c r="AI336" s="1206"/>
    </row>
    <row r="337" spans="35:35">
      <c r="AI337" s="1206"/>
    </row>
    <row r="338" spans="35:35">
      <c r="AI338" s="1206"/>
    </row>
    <row r="339" spans="35:35">
      <c r="AI339" s="1206"/>
    </row>
    <row r="340" spans="35:35">
      <c r="AI340" s="1206"/>
    </row>
    <row r="341" spans="35:35">
      <c r="AI341" s="1206"/>
    </row>
    <row r="342" spans="35:35">
      <c r="AI342" s="1206"/>
    </row>
    <row r="343" spans="35:35">
      <c r="AI343" s="1206"/>
    </row>
    <row r="344" spans="35:35">
      <c r="AI344" s="1206"/>
    </row>
    <row r="345" spans="35:35">
      <c r="AI345" s="1206"/>
    </row>
    <row r="346" spans="35:35">
      <c r="AI346" s="1206"/>
    </row>
    <row r="347" spans="35:35">
      <c r="AI347" s="1206"/>
    </row>
    <row r="348" spans="35:35">
      <c r="AI348" s="1206"/>
    </row>
    <row r="349" spans="35:35">
      <c r="AI349" s="1206"/>
    </row>
    <row r="350" spans="35:35">
      <c r="AI350" s="1206"/>
    </row>
    <row r="351" spans="35:35">
      <c r="AI351" s="1206"/>
    </row>
    <row r="352" spans="35:35">
      <c r="AI352" s="1206"/>
    </row>
    <row r="353" spans="35:35">
      <c r="AI353" s="1206"/>
    </row>
    <row r="354" spans="35:35">
      <c r="AI354" s="1206"/>
    </row>
    <row r="355" spans="35:35">
      <c r="AI355" s="1206"/>
    </row>
    <row r="356" spans="35:35">
      <c r="AI356" s="1206"/>
    </row>
    <row r="357" spans="35:35">
      <c r="AI357" s="1206"/>
    </row>
    <row r="358" spans="35:35">
      <c r="AI358" s="1206"/>
    </row>
    <row r="359" spans="35:35">
      <c r="AI359" s="1206"/>
    </row>
    <row r="360" spans="35:35">
      <c r="AI360" s="1206"/>
    </row>
    <row r="361" spans="35:35">
      <c r="AI361" s="1206"/>
    </row>
    <row r="362" spans="35:35">
      <c r="AI362" s="1206"/>
    </row>
    <row r="363" spans="35:35">
      <c r="AI363" s="1206"/>
    </row>
    <row r="364" spans="35:35">
      <c r="AI364" s="1206"/>
    </row>
    <row r="365" spans="35:35">
      <c r="AI365" s="1206"/>
    </row>
    <row r="366" spans="35:35">
      <c r="AI366" s="1206"/>
    </row>
    <row r="367" spans="35:35">
      <c r="AI367" s="1206"/>
    </row>
    <row r="368" spans="35:35">
      <c r="AI368" s="1206"/>
    </row>
    <row r="369" spans="35:35">
      <c r="AI369" s="1206"/>
    </row>
    <row r="370" spans="35:35">
      <c r="AI370" s="1206"/>
    </row>
    <row r="371" spans="35:35">
      <c r="AI371" s="1206"/>
    </row>
    <row r="372" spans="35:35">
      <c r="AI372" s="1206"/>
    </row>
    <row r="373" spans="35:35">
      <c r="AI373" s="1206"/>
    </row>
    <row r="374" spans="35:35">
      <c r="AI374" s="1206"/>
    </row>
    <row r="375" spans="35:35">
      <c r="AI375" s="1206"/>
    </row>
    <row r="376" spans="35:35">
      <c r="AI376" s="1206"/>
    </row>
    <row r="377" spans="35:35">
      <c r="AI377" s="1206"/>
    </row>
    <row r="378" spans="35:35">
      <c r="AI378" s="1206"/>
    </row>
    <row r="379" spans="35:35">
      <c r="AI379" s="1206"/>
    </row>
    <row r="380" spans="35:35">
      <c r="AI380" s="1206"/>
    </row>
    <row r="381" spans="35:35">
      <c r="AI381" s="1206"/>
    </row>
    <row r="382" spans="35:35">
      <c r="AI382" s="1206"/>
    </row>
    <row r="383" spans="35:35">
      <c r="AI383" s="1206"/>
    </row>
    <row r="384" spans="35:35">
      <c r="AI384" s="1206"/>
    </row>
    <row r="385" spans="35:35">
      <c r="AI385" s="1206"/>
    </row>
    <row r="386" spans="35:35">
      <c r="AI386" s="1206"/>
    </row>
    <row r="387" spans="35:35">
      <c r="AI387" s="1206"/>
    </row>
    <row r="388" spans="35:35">
      <c r="AI388" s="1206"/>
    </row>
    <row r="389" spans="35:35">
      <c r="AI389" s="1206"/>
    </row>
    <row r="390" spans="35:35">
      <c r="AI390" s="1206"/>
    </row>
    <row r="391" spans="35:35">
      <c r="AI391" s="1206"/>
    </row>
    <row r="392" spans="35:35">
      <c r="AI392" s="1206"/>
    </row>
    <row r="393" spans="35:35">
      <c r="AI393" s="1206"/>
    </row>
    <row r="394" spans="35:35">
      <c r="AI394" s="1206"/>
    </row>
    <row r="395" spans="35:35">
      <c r="AI395" s="1206"/>
    </row>
    <row r="396" spans="35:35">
      <c r="AI396" s="1206"/>
    </row>
    <row r="397" spans="35:35">
      <c r="AI397" s="1206"/>
    </row>
    <row r="398" spans="35:35">
      <c r="AI398" s="1206"/>
    </row>
    <row r="399" spans="35:35">
      <c r="AI399" s="1206"/>
    </row>
    <row r="400" spans="35:35">
      <c r="AI400" s="1206"/>
    </row>
    <row r="401" spans="35:35">
      <c r="AI401" s="1206"/>
    </row>
    <row r="402" spans="35:35">
      <c r="AI402" s="1206"/>
    </row>
    <row r="403" spans="35:35">
      <c r="AI403" s="1206"/>
    </row>
    <row r="404" spans="35:35">
      <c r="AI404" s="1206"/>
    </row>
    <row r="405" spans="35:35">
      <c r="AI405" s="1206"/>
    </row>
    <row r="406" spans="35:35">
      <c r="AI406" s="1206"/>
    </row>
    <row r="407" spans="35:35">
      <c r="AI407" s="1206"/>
    </row>
    <row r="408" spans="35:35">
      <c r="AI408" s="1206"/>
    </row>
    <row r="409" spans="35:35">
      <c r="AI409" s="1206"/>
    </row>
    <row r="410" spans="35:35">
      <c r="AI410" s="1206"/>
    </row>
    <row r="411" spans="35:35">
      <c r="AI411" s="1206"/>
    </row>
    <row r="412" spans="35:35">
      <c r="AI412" s="1206"/>
    </row>
    <row r="413" spans="35:35">
      <c r="AI413" s="1206"/>
    </row>
    <row r="414" spans="35:35">
      <c r="AI414" s="1206"/>
    </row>
    <row r="415" spans="35:35">
      <c r="AI415" s="1206"/>
    </row>
    <row r="416" spans="35:35">
      <c r="AI416" s="1206"/>
    </row>
    <row r="417" spans="35:35">
      <c r="AI417" s="1206"/>
    </row>
    <row r="418" spans="35:35">
      <c r="AI418" s="1206"/>
    </row>
    <row r="419" spans="35:35">
      <c r="AI419" s="1206"/>
    </row>
    <row r="420" spans="35:35">
      <c r="AI420" s="1206"/>
    </row>
    <row r="421" spans="35:35">
      <c r="AI421" s="1206"/>
    </row>
    <row r="422" spans="35:35">
      <c r="AI422" s="1206"/>
    </row>
    <row r="423" spans="35:35">
      <c r="AI423" s="1206"/>
    </row>
    <row r="424" spans="35:35">
      <c r="AI424" s="1206"/>
    </row>
    <row r="425" spans="35:35">
      <c r="AI425" s="1206"/>
    </row>
    <row r="426" spans="35:35">
      <c r="AI426" s="1206"/>
    </row>
    <row r="427" spans="35:35">
      <c r="AI427" s="1206"/>
    </row>
    <row r="428" spans="35:35">
      <c r="AI428" s="1206"/>
    </row>
    <row r="429" spans="35:35">
      <c r="AI429" s="1206"/>
    </row>
    <row r="430" spans="35:35">
      <c r="AI430" s="1206"/>
    </row>
    <row r="431" spans="35:35">
      <c r="AI431" s="1206"/>
    </row>
    <row r="432" spans="35:35">
      <c r="AI432" s="1206"/>
    </row>
    <row r="433" spans="35:35">
      <c r="AI433" s="1206"/>
    </row>
    <row r="434" spans="35:35">
      <c r="AI434" s="1206"/>
    </row>
    <row r="435" spans="35:35">
      <c r="AI435" s="1206"/>
    </row>
    <row r="436" spans="35:35">
      <c r="AI436" s="1206"/>
    </row>
    <row r="437" spans="35:35">
      <c r="AI437" s="1206"/>
    </row>
    <row r="438" spans="35:35">
      <c r="AI438" s="1206"/>
    </row>
    <row r="439" spans="35:35">
      <c r="AI439" s="1206"/>
    </row>
    <row r="440" spans="35:35">
      <c r="AI440" s="1206"/>
    </row>
    <row r="441" spans="35:35">
      <c r="AI441" s="1206"/>
    </row>
    <row r="442" spans="35:35">
      <c r="AI442" s="1206"/>
    </row>
    <row r="443" spans="35:35">
      <c r="AI443" s="1206"/>
    </row>
    <row r="444" spans="35:35">
      <c r="AI444" s="1206"/>
    </row>
    <row r="445" spans="35:35">
      <c r="AI445" s="1206"/>
    </row>
    <row r="446" spans="35:35">
      <c r="AI446" s="1206"/>
    </row>
    <row r="447" spans="35:35">
      <c r="AI447" s="1206"/>
    </row>
    <row r="448" spans="35:35">
      <c r="AI448" s="1206"/>
    </row>
    <row r="449" spans="35:35">
      <c r="AI449" s="1206"/>
    </row>
    <row r="450" spans="35:35">
      <c r="AI450" s="1206"/>
    </row>
    <row r="451" spans="35:35">
      <c r="AI451" s="1206"/>
    </row>
    <row r="452" spans="35:35">
      <c r="AI452" s="1206"/>
    </row>
    <row r="453" spans="35:35">
      <c r="AI453" s="1206"/>
    </row>
    <row r="454" spans="35:35">
      <c r="AI454" s="1206"/>
    </row>
    <row r="455" spans="35:35">
      <c r="AI455" s="1206"/>
    </row>
    <row r="456" spans="35:35">
      <c r="AI456" s="1206"/>
    </row>
    <row r="457" spans="35:35">
      <c r="AI457" s="1206"/>
    </row>
    <row r="458" spans="35:35">
      <c r="AI458" s="1206"/>
    </row>
    <row r="459" spans="35:35">
      <c r="AI459" s="1206"/>
    </row>
    <row r="460" spans="35:35">
      <c r="AI460" s="1206"/>
    </row>
    <row r="461" spans="35:35">
      <c r="AI461" s="1206"/>
    </row>
    <row r="462" spans="35:35">
      <c r="AI462" s="1206"/>
    </row>
    <row r="463" spans="35:35">
      <c r="AI463" s="1206"/>
    </row>
    <row r="464" spans="35:35">
      <c r="AI464" s="1206"/>
    </row>
    <row r="465" spans="35:35">
      <c r="AI465" s="1206"/>
    </row>
    <row r="466" spans="35:35">
      <c r="AI466" s="1206"/>
    </row>
    <row r="467" spans="35:35">
      <c r="AI467" s="1206"/>
    </row>
    <row r="468" spans="35:35">
      <c r="AI468" s="1206"/>
    </row>
    <row r="469" spans="35:35">
      <c r="AI469" s="1206"/>
    </row>
    <row r="470" spans="35:35">
      <c r="AI470" s="1206"/>
    </row>
    <row r="471" spans="35:35">
      <c r="AI471" s="1206"/>
    </row>
    <row r="472" spans="35:35">
      <c r="AI472" s="1206"/>
    </row>
    <row r="473" spans="35:35">
      <c r="AI473" s="1206"/>
    </row>
    <row r="474" spans="35:35">
      <c r="AI474" s="1206"/>
    </row>
    <row r="475" spans="35:35">
      <c r="AI475" s="1206"/>
    </row>
    <row r="476" spans="35:35">
      <c r="AI476" s="1206"/>
    </row>
    <row r="477" spans="35:35">
      <c r="AI477" s="1206"/>
    </row>
    <row r="478" spans="35:35">
      <c r="AI478" s="1206"/>
    </row>
    <row r="479" spans="35:35">
      <c r="AI479" s="1206"/>
    </row>
    <row r="480" spans="35:35">
      <c r="AI480" s="1206"/>
    </row>
    <row r="481" spans="35:35">
      <c r="AI481" s="1206"/>
    </row>
    <row r="482" spans="35:35">
      <c r="AI482" s="1206"/>
    </row>
    <row r="483" spans="35:35">
      <c r="AI483" s="1206"/>
    </row>
    <row r="484" spans="35:35">
      <c r="AI484" s="1206"/>
    </row>
    <row r="485" spans="35:35">
      <c r="AI485" s="1206"/>
    </row>
    <row r="486" spans="35:35">
      <c r="AI486" s="1206"/>
    </row>
    <row r="487" spans="35:35">
      <c r="AI487" s="1206"/>
    </row>
    <row r="488" spans="35:35">
      <c r="AI488" s="1206"/>
    </row>
    <row r="489" spans="35:35">
      <c r="AI489" s="1206"/>
    </row>
    <row r="490" spans="35:35">
      <c r="AI490" s="1206"/>
    </row>
    <row r="491" spans="35:35">
      <c r="AI491" s="1206"/>
    </row>
    <row r="492" spans="35:35">
      <c r="AI492" s="1206"/>
    </row>
    <row r="493" spans="35:35">
      <c r="AI493" s="1206"/>
    </row>
    <row r="494" spans="35:35">
      <c r="AI494" s="1206"/>
    </row>
    <row r="495" spans="35:35">
      <c r="AI495" s="1206"/>
    </row>
    <row r="496" spans="35:35">
      <c r="AI496" s="1206"/>
    </row>
    <row r="497" spans="35:35">
      <c r="AI497" s="1206"/>
    </row>
    <row r="498" spans="35:35">
      <c r="AI498" s="1206"/>
    </row>
    <row r="499" spans="35:35">
      <c r="AI499" s="1206"/>
    </row>
    <row r="500" spans="35:35">
      <c r="AI500" s="1206"/>
    </row>
    <row r="501" spans="35:35">
      <c r="AI501" s="1206"/>
    </row>
    <row r="502" spans="35:35">
      <c r="AI502" s="1206"/>
    </row>
    <row r="503" spans="35:35">
      <c r="AI503" s="1206"/>
    </row>
    <row r="504" spans="35:35">
      <c r="AI504" s="1206"/>
    </row>
    <row r="505" spans="35:35">
      <c r="AI505" s="1206"/>
    </row>
    <row r="506" spans="35:35">
      <c r="AI506" s="1206"/>
    </row>
    <row r="507" spans="35:35">
      <c r="AI507" s="1206"/>
    </row>
    <row r="508" spans="35:35">
      <c r="AI508" s="1206"/>
    </row>
    <row r="509" spans="35:35">
      <c r="AI509" s="1206"/>
    </row>
    <row r="510" spans="35:35">
      <c r="AI510" s="1206"/>
    </row>
    <row r="511" spans="35:35">
      <c r="AI511" s="1206"/>
    </row>
    <row r="512" spans="35:35">
      <c r="AI512" s="1206"/>
    </row>
    <row r="513" spans="35:35">
      <c r="AI513" s="1206"/>
    </row>
    <row r="514" spans="35:35">
      <c r="AI514" s="1206"/>
    </row>
    <row r="515" spans="35:35">
      <c r="AI515" s="1206"/>
    </row>
    <row r="516" spans="35:35">
      <c r="AI516" s="1206"/>
    </row>
    <row r="517" spans="35:35">
      <c r="AI517" s="1206"/>
    </row>
    <row r="518" spans="35:35">
      <c r="AI518" s="1206"/>
    </row>
    <row r="519" spans="35:35">
      <c r="AI519" s="1206"/>
    </row>
    <row r="520" spans="35:35">
      <c r="AI520" s="1206"/>
    </row>
    <row r="521" spans="35:35">
      <c r="AI521" s="1206"/>
    </row>
    <row r="522" spans="35:35">
      <c r="AI522" s="1206"/>
    </row>
    <row r="523" spans="35:35">
      <c r="AI523" s="1206"/>
    </row>
    <row r="524" spans="35:35">
      <c r="AI524" s="1206"/>
    </row>
    <row r="525" spans="35:35">
      <c r="AI525" s="1206"/>
    </row>
    <row r="526" spans="35:35">
      <c r="AI526" s="1206"/>
    </row>
    <row r="527" spans="35:35">
      <c r="AI527" s="1206"/>
    </row>
    <row r="528" spans="35:35">
      <c r="AI528" s="1206"/>
    </row>
    <row r="529" spans="35:35">
      <c r="AI529" s="1206"/>
    </row>
    <row r="530" spans="35:35">
      <c r="AI530" s="1206"/>
    </row>
    <row r="531" spans="35:35">
      <c r="AI531" s="1206"/>
    </row>
    <row r="532" spans="35:35">
      <c r="AI532" s="1206"/>
    </row>
    <row r="533" spans="35:35">
      <c r="AI533" s="1206"/>
    </row>
    <row r="534" spans="35:35">
      <c r="AI534" s="1206"/>
    </row>
    <row r="535" spans="35:35">
      <c r="AI535" s="1206"/>
    </row>
    <row r="536" spans="35:35">
      <c r="AI536" s="1206"/>
    </row>
    <row r="537" spans="35:35">
      <c r="AI537" s="1206"/>
    </row>
    <row r="538" spans="35:35">
      <c r="AI538" s="1206"/>
    </row>
    <row r="539" spans="35:35">
      <c r="AI539" s="1206"/>
    </row>
    <row r="540" spans="35:35">
      <c r="AI540" s="1206"/>
    </row>
    <row r="541" spans="35:35">
      <c r="AI541" s="1206"/>
    </row>
    <row r="542" spans="35:35">
      <c r="AI542" s="1206"/>
    </row>
    <row r="543" spans="35:35">
      <c r="AI543" s="1206"/>
    </row>
    <row r="544" spans="35:35">
      <c r="AI544" s="1206"/>
    </row>
    <row r="545" spans="35:35">
      <c r="AI545" s="1206"/>
    </row>
    <row r="546" spans="35:35">
      <c r="AI546" s="1206"/>
    </row>
    <row r="547" spans="35:35">
      <c r="AI547" s="1206"/>
    </row>
    <row r="548" spans="35:35">
      <c r="AI548" s="1206"/>
    </row>
    <row r="549" spans="35:35">
      <c r="AI549" s="1206"/>
    </row>
    <row r="550" spans="35:35">
      <c r="AI550" s="1206"/>
    </row>
    <row r="551" spans="35:35">
      <c r="AI551" s="1206"/>
    </row>
    <row r="552" spans="35:35">
      <c r="AI552" s="1206"/>
    </row>
    <row r="553" spans="35:35">
      <c r="AI553" s="1206"/>
    </row>
    <row r="554" spans="35:35">
      <c r="AI554" s="1206"/>
    </row>
    <row r="555" spans="35:35">
      <c r="AI555" s="1206"/>
    </row>
    <row r="556" spans="35:35">
      <c r="AI556" s="1206"/>
    </row>
    <row r="557" spans="35:35">
      <c r="AI557" s="1206"/>
    </row>
    <row r="558" spans="35:35">
      <c r="AI558" s="1206"/>
    </row>
    <row r="559" spans="35:35">
      <c r="AI559" s="1206"/>
    </row>
    <row r="560" spans="35:35">
      <c r="AI560" s="1206"/>
    </row>
    <row r="561" spans="35:35">
      <c r="AI561" s="1206"/>
    </row>
    <row r="562" spans="35:35">
      <c r="AI562" s="1206"/>
    </row>
    <row r="563" spans="35:35">
      <c r="AI563" s="1206"/>
    </row>
    <row r="564" spans="35:35">
      <c r="AI564" s="1206"/>
    </row>
    <row r="565" spans="35:35">
      <c r="AI565" s="1206"/>
    </row>
    <row r="566" spans="35:35">
      <c r="AI566" s="1206"/>
    </row>
    <row r="567" spans="35:35">
      <c r="AI567" s="1206"/>
    </row>
    <row r="568" spans="35:35">
      <c r="AI568" s="1206"/>
    </row>
    <row r="569" spans="35:35">
      <c r="AI569" s="1206"/>
    </row>
    <row r="570" spans="35:35">
      <c r="AI570" s="1206"/>
    </row>
    <row r="571" spans="35:35">
      <c r="AI571" s="1206"/>
    </row>
    <row r="572" spans="35:35">
      <c r="AI572" s="1206"/>
    </row>
    <row r="573" spans="35:35">
      <c r="AI573" s="1206"/>
    </row>
    <row r="574" spans="35:35">
      <c r="AI574" s="1206"/>
    </row>
    <row r="575" spans="35:35">
      <c r="AI575" s="1206"/>
    </row>
    <row r="576" spans="35:35">
      <c r="AI576" s="1206"/>
    </row>
    <row r="577" spans="35:35">
      <c r="AI577" s="1206"/>
    </row>
    <row r="578" spans="35:35">
      <c r="AI578" s="1206"/>
    </row>
    <row r="579" spans="35:35">
      <c r="AI579" s="1206"/>
    </row>
    <row r="580" spans="35:35">
      <c r="AI580" s="1206"/>
    </row>
    <row r="581" spans="35:35">
      <c r="AI581" s="1206"/>
    </row>
    <row r="582" spans="35:35">
      <c r="AI582" s="1206"/>
    </row>
    <row r="583" spans="35:35">
      <c r="AI583" s="1206"/>
    </row>
    <row r="584" spans="35:35">
      <c r="AI584" s="1206"/>
    </row>
    <row r="585" spans="35:35">
      <c r="AI585" s="1206"/>
    </row>
    <row r="586" spans="35:35">
      <c r="AI586" s="1206"/>
    </row>
    <row r="587" spans="35:35">
      <c r="AI587" s="1206"/>
    </row>
    <row r="588" spans="35:35">
      <c r="AI588" s="1206"/>
    </row>
    <row r="589" spans="35:35">
      <c r="AI589" s="1206"/>
    </row>
    <row r="590" spans="35:35">
      <c r="AI590" s="1206"/>
    </row>
    <row r="591" spans="35:35">
      <c r="AI591" s="1206"/>
    </row>
    <row r="592" spans="35:35">
      <c r="AI592" s="1206"/>
    </row>
    <row r="593" spans="35:35">
      <c r="AI593" s="1206"/>
    </row>
    <row r="594" spans="35:35">
      <c r="AI594" s="1206"/>
    </row>
    <row r="595" spans="35:35">
      <c r="AI595" s="1206"/>
    </row>
    <row r="596" spans="35:35">
      <c r="AI596" s="1206"/>
    </row>
    <row r="597" spans="35:35">
      <c r="AI597" s="1206"/>
    </row>
    <row r="598" spans="35:35">
      <c r="AI598" s="1206"/>
    </row>
    <row r="599" spans="35:35">
      <c r="AI599" s="1206"/>
    </row>
    <row r="600" spans="35:35">
      <c r="AI600" s="1206"/>
    </row>
    <row r="601" spans="35:35">
      <c r="AI601" s="1206"/>
    </row>
    <row r="602" spans="35:35">
      <c r="AI602" s="1206"/>
    </row>
    <row r="603" spans="35:35">
      <c r="AI603" s="1206"/>
    </row>
    <row r="604" spans="35:35">
      <c r="AI604" s="1206"/>
    </row>
    <row r="605" spans="35:35">
      <c r="AI605" s="1206"/>
    </row>
    <row r="606" spans="35:35">
      <c r="AI606" s="1206"/>
    </row>
    <row r="607" spans="35:35">
      <c r="AI607" s="1206"/>
    </row>
    <row r="608" spans="35:35">
      <c r="AI608" s="1206"/>
    </row>
    <row r="609" spans="35:35">
      <c r="AI609" s="1206"/>
    </row>
    <row r="610" spans="35:35">
      <c r="AI610" s="1206"/>
    </row>
    <row r="611" spans="35:35">
      <c r="AI611" s="1206"/>
    </row>
    <row r="612" spans="35:35">
      <c r="AI612" s="1206"/>
    </row>
    <row r="613" spans="35:35">
      <c r="AI613" s="1206"/>
    </row>
    <row r="614" spans="35:35">
      <c r="AI614" s="1206"/>
    </row>
    <row r="615" spans="35:35">
      <c r="AI615" s="1206"/>
    </row>
    <row r="616" spans="35:35">
      <c r="AI616" s="1206"/>
    </row>
    <row r="617" spans="35:35">
      <c r="AI617" s="1206"/>
    </row>
    <row r="618" spans="35:35">
      <c r="AI618" s="1206"/>
    </row>
    <row r="619" spans="35:35">
      <c r="AI619" s="1206"/>
    </row>
    <row r="620" spans="35:35">
      <c r="AI620" s="1206"/>
    </row>
    <row r="621" spans="35:35">
      <c r="AI621" s="1206"/>
    </row>
    <row r="622" spans="35:35">
      <c r="AI622" s="1206"/>
    </row>
    <row r="623" spans="35:35">
      <c r="AI623" s="1206"/>
    </row>
    <row r="624" spans="35:35">
      <c r="AI624" s="1206"/>
    </row>
    <row r="625" spans="35:35">
      <c r="AI625" s="1206"/>
    </row>
    <row r="626" spans="35:35">
      <c r="AI626" s="1206"/>
    </row>
    <row r="627" spans="35:35">
      <c r="AI627" s="1206"/>
    </row>
    <row r="628" spans="35:35">
      <c r="AI628" s="1206"/>
    </row>
    <row r="629" spans="35:35">
      <c r="AI629" s="1206"/>
    </row>
    <row r="630" spans="35:35">
      <c r="AI630" s="1206"/>
    </row>
    <row r="631" spans="35:35">
      <c r="AI631" s="1206"/>
    </row>
    <row r="632" spans="35:35">
      <c r="AI632" s="1206"/>
    </row>
    <row r="633" spans="35:35">
      <c r="AI633" s="1206"/>
    </row>
    <row r="634" spans="35:35">
      <c r="AI634" s="1206"/>
    </row>
    <row r="635" spans="35:35">
      <c r="AI635" s="1206"/>
    </row>
    <row r="636" spans="35:35">
      <c r="AI636" s="1206"/>
    </row>
    <row r="637" spans="35:35">
      <c r="AI637" s="1206"/>
    </row>
    <row r="638" spans="35:35">
      <c r="AI638" s="1206"/>
    </row>
    <row r="639" spans="35:35">
      <c r="AI639" s="1206"/>
    </row>
    <row r="640" spans="35:35">
      <c r="AI640" s="1206"/>
    </row>
    <row r="641" spans="35:35">
      <c r="AI641" s="1206"/>
    </row>
    <row r="642" spans="35:35">
      <c r="AI642" s="1206"/>
    </row>
    <row r="643" spans="35:35">
      <c r="AI643" s="1206"/>
    </row>
    <row r="644" spans="35:35">
      <c r="AI644" s="1206"/>
    </row>
    <row r="645" spans="35:35">
      <c r="AI645" s="1206"/>
    </row>
    <row r="646" spans="35:35">
      <c r="AI646" s="1206"/>
    </row>
    <row r="647" spans="35:35">
      <c r="AI647" s="1206"/>
    </row>
    <row r="648" spans="35:35">
      <c r="AI648" s="1206"/>
    </row>
    <row r="649" spans="35:35">
      <c r="AI649" s="1206"/>
    </row>
    <row r="650" spans="35:35">
      <c r="AI650" s="1206"/>
    </row>
    <row r="651" spans="35:35">
      <c r="AI651" s="1206"/>
    </row>
    <row r="652" spans="35:35">
      <c r="AI652" s="1206"/>
    </row>
    <row r="653" spans="35:35">
      <c r="AI653" s="1206"/>
    </row>
    <row r="654" spans="35:35">
      <c r="AI654" s="1206"/>
    </row>
    <row r="655" spans="35:35">
      <c r="AI655" s="1206"/>
    </row>
    <row r="656" spans="35:35">
      <c r="AI656" s="1206"/>
    </row>
    <row r="657" spans="35:35">
      <c r="AI657" s="1206"/>
    </row>
    <row r="658" spans="35:35">
      <c r="AI658" s="1206"/>
    </row>
    <row r="659" spans="35:35">
      <c r="AI659" s="1206"/>
    </row>
    <row r="660" spans="35:35">
      <c r="AI660" s="1206"/>
    </row>
    <row r="661" spans="35:35">
      <c r="AI661" s="1206"/>
    </row>
    <row r="662" spans="35:35">
      <c r="AI662" s="1206"/>
    </row>
    <row r="663" spans="35:35">
      <c r="AI663" s="1206"/>
    </row>
    <row r="664" spans="35:35">
      <c r="AI664" s="1206"/>
    </row>
    <row r="665" spans="35:35">
      <c r="AI665" s="1206"/>
    </row>
    <row r="666" spans="35:35">
      <c r="AI666" s="1206"/>
    </row>
    <row r="667" spans="35:35">
      <c r="AI667" s="1206"/>
    </row>
    <row r="668" spans="35:35">
      <c r="AI668" s="1206"/>
    </row>
    <row r="669" spans="35:35">
      <c r="AI669" s="1206"/>
    </row>
    <row r="670" spans="35:35">
      <c r="AI670" s="1206"/>
    </row>
    <row r="671" spans="35:35">
      <c r="AI671" s="1206"/>
    </row>
    <row r="672" spans="35:35">
      <c r="AI672" s="1206"/>
    </row>
    <row r="673" spans="35:35">
      <c r="AI673" s="1206"/>
    </row>
    <row r="674" spans="35:35">
      <c r="AI674" s="1206"/>
    </row>
    <row r="675" spans="35:35">
      <c r="AI675" s="1206"/>
    </row>
    <row r="676" spans="35:35">
      <c r="AI676" s="1206"/>
    </row>
    <row r="677" spans="35:35">
      <c r="AI677" s="1206"/>
    </row>
    <row r="678" spans="35:35">
      <c r="AI678" s="1206"/>
    </row>
    <row r="679" spans="35:35">
      <c r="AI679" s="1206"/>
    </row>
    <row r="680" spans="35:35">
      <c r="AI680" s="1206"/>
    </row>
    <row r="681" spans="35:35">
      <c r="AI681" s="1206"/>
    </row>
    <row r="682" spans="35:35">
      <c r="AI682" s="1206"/>
    </row>
    <row r="683" spans="35:35">
      <c r="AI683" s="1206"/>
    </row>
    <row r="684" spans="35:35">
      <c r="AI684" s="1206"/>
    </row>
    <row r="685" spans="35:35">
      <c r="AI685" s="1206"/>
    </row>
    <row r="686" spans="35:35">
      <c r="AI686" s="1206"/>
    </row>
    <row r="687" spans="35:35">
      <c r="AI687" s="1206"/>
    </row>
    <row r="688" spans="35:35">
      <c r="AI688" s="1206"/>
    </row>
    <row r="689" spans="35:35">
      <c r="AI689" s="1206"/>
    </row>
    <row r="690" spans="35:35">
      <c r="AI690" s="1206"/>
    </row>
    <row r="691" spans="35:35">
      <c r="AI691" s="1206"/>
    </row>
    <row r="692" spans="35:35">
      <c r="AI692" s="1206"/>
    </row>
    <row r="693" spans="35:35">
      <c r="AI693" s="1206"/>
    </row>
    <row r="694" spans="35:35">
      <c r="AI694" s="1206"/>
    </row>
    <row r="695" spans="35:35">
      <c r="AI695" s="1206"/>
    </row>
    <row r="696" spans="35:35">
      <c r="AI696" s="1206"/>
    </row>
    <row r="697" spans="35:35">
      <c r="AI697" s="1206"/>
    </row>
    <row r="698" spans="35:35">
      <c r="AI698" s="1206"/>
    </row>
    <row r="699" spans="35:35">
      <c r="AI699" s="1206"/>
    </row>
    <row r="700" spans="35:35">
      <c r="AI700" s="1206"/>
    </row>
    <row r="701" spans="35:35">
      <c r="AI701" s="1206"/>
    </row>
    <row r="702" spans="35:35">
      <c r="AI702" s="1206"/>
    </row>
    <row r="703" spans="35:35">
      <c r="AI703" s="1206"/>
    </row>
    <row r="704" spans="35:35">
      <c r="AI704" s="1206"/>
    </row>
    <row r="705" spans="35:35">
      <c r="AI705" s="1206"/>
    </row>
    <row r="706" spans="35:35">
      <c r="AI706" s="1206"/>
    </row>
    <row r="707" spans="35:35">
      <c r="AI707" s="1206"/>
    </row>
    <row r="708" spans="35:35">
      <c r="AI708" s="1206"/>
    </row>
    <row r="709" spans="35:35">
      <c r="AI709" s="1206"/>
    </row>
    <row r="710" spans="35:35">
      <c r="AI710" s="1206"/>
    </row>
    <row r="711" spans="35:35">
      <c r="AI711" s="1206"/>
    </row>
    <row r="712" spans="35:35">
      <c r="AI712" s="1206"/>
    </row>
    <row r="713" spans="35:35">
      <c r="AI713" s="1206"/>
    </row>
    <row r="714" spans="35:35">
      <c r="AI714" s="1206"/>
    </row>
    <row r="715" spans="35:35">
      <c r="AI715" s="1206"/>
    </row>
    <row r="716" spans="35:35">
      <c r="AI716" s="1206"/>
    </row>
    <row r="717" spans="35:35">
      <c r="AI717" s="1206"/>
    </row>
    <row r="718" spans="35:35">
      <c r="AI718" s="1206"/>
    </row>
    <row r="719" spans="35:35">
      <c r="AI719" s="1206"/>
    </row>
    <row r="720" spans="35:35">
      <c r="AI720" s="1206"/>
    </row>
    <row r="721" spans="35:35">
      <c r="AI721" s="1206"/>
    </row>
    <row r="722" spans="35:35">
      <c r="AI722" s="1206"/>
    </row>
    <row r="723" spans="35:35">
      <c r="AI723" s="1206"/>
    </row>
    <row r="724" spans="35:35">
      <c r="AI724" s="1206"/>
    </row>
    <row r="725" spans="35:35">
      <c r="AI725" s="1206"/>
    </row>
    <row r="726" spans="35:35">
      <c r="AI726" s="1206"/>
    </row>
    <row r="727" spans="35:35">
      <c r="AI727" s="1206"/>
    </row>
    <row r="728" spans="35:35">
      <c r="AI728" s="1206"/>
    </row>
    <row r="729" spans="35:35">
      <c r="AI729" s="1206"/>
    </row>
    <row r="730" spans="35:35">
      <c r="AI730" s="1206"/>
    </row>
    <row r="731" spans="35:35">
      <c r="AI731" s="1206"/>
    </row>
    <row r="732" spans="35:35">
      <c r="AI732" s="1206"/>
    </row>
    <row r="733" spans="35:35">
      <c r="AI733" s="1206"/>
    </row>
    <row r="734" spans="35:35">
      <c r="AI734" s="1206"/>
    </row>
    <row r="735" spans="35:35">
      <c r="AI735" s="1206"/>
    </row>
    <row r="736" spans="35:35">
      <c r="AI736" s="1206"/>
    </row>
    <row r="737" spans="35:35">
      <c r="AI737" s="1206"/>
    </row>
    <row r="738" spans="35:35">
      <c r="AI738" s="1206"/>
    </row>
    <row r="739" spans="35:35">
      <c r="AI739" s="1206"/>
    </row>
    <row r="740" spans="35:35">
      <c r="AI740" s="1206"/>
    </row>
    <row r="741" spans="35:35">
      <c r="AI741" s="1206"/>
    </row>
    <row r="742" spans="35:35">
      <c r="AI742" s="1206"/>
    </row>
    <row r="743" spans="35:35">
      <c r="AI743" s="1206"/>
    </row>
    <row r="744" spans="35:35">
      <c r="AI744" s="1206"/>
    </row>
    <row r="745" spans="35:35">
      <c r="AI745" s="1206"/>
    </row>
    <row r="746" spans="35:35">
      <c r="AI746" s="1206"/>
    </row>
    <row r="747" spans="35:35">
      <c r="AI747" s="1206"/>
    </row>
    <row r="748" spans="35:35">
      <c r="AI748" s="1206"/>
    </row>
    <row r="749" spans="35:35">
      <c r="AI749" s="1206"/>
    </row>
    <row r="750" spans="35:35">
      <c r="AI750" s="1206"/>
    </row>
    <row r="751" spans="35:35">
      <c r="AI751" s="1206"/>
    </row>
    <row r="752" spans="35:35">
      <c r="AI752" s="1206"/>
    </row>
    <row r="753" spans="35:35">
      <c r="AI753" s="1206"/>
    </row>
    <row r="754" spans="35:35">
      <c r="AI754" s="1206"/>
    </row>
    <row r="755" spans="35:35">
      <c r="AI755" s="1206"/>
    </row>
    <row r="756" spans="35:35">
      <c r="AI756" s="1206"/>
    </row>
    <row r="757" spans="35:35">
      <c r="AI757" s="1206"/>
    </row>
    <row r="758" spans="35:35">
      <c r="AI758" s="1206"/>
    </row>
    <row r="759" spans="35:35">
      <c r="AI759" s="1206"/>
    </row>
    <row r="760" spans="35:35">
      <c r="AI760" s="1206"/>
    </row>
    <row r="761" spans="35:35">
      <c r="AI761" s="1206"/>
    </row>
    <row r="762" spans="35:35">
      <c r="AI762" s="1206"/>
    </row>
    <row r="763" spans="35:35">
      <c r="AI763" s="1206"/>
    </row>
    <row r="764" spans="35:35">
      <c r="AI764" s="1206"/>
    </row>
    <row r="765" spans="35:35">
      <c r="AI765" s="1206"/>
    </row>
    <row r="766" spans="35:35">
      <c r="AI766" s="1206"/>
    </row>
    <row r="767" spans="35:35">
      <c r="AI767" s="1206"/>
    </row>
    <row r="768" spans="35:35">
      <c r="AI768" s="1206"/>
    </row>
    <row r="769" spans="35:35">
      <c r="AI769" s="1206"/>
    </row>
    <row r="770" spans="35:35">
      <c r="AI770" s="1206"/>
    </row>
    <row r="771" spans="35:35">
      <c r="AI771" s="1206"/>
    </row>
    <row r="772" spans="35:35">
      <c r="AI772" s="1206"/>
    </row>
    <row r="773" spans="35:35">
      <c r="AI773" s="1206"/>
    </row>
    <row r="774" spans="35:35">
      <c r="AI774" s="1206"/>
    </row>
    <row r="775" spans="35:35">
      <c r="AI775" s="1206"/>
    </row>
    <row r="776" spans="35:35">
      <c r="AI776" s="1206"/>
    </row>
    <row r="777" spans="35:35">
      <c r="AI777" s="1206"/>
    </row>
    <row r="778" spans="35:35">
      <c r="AI778" s="1206"/>
    </row>
    <row r="779" spans="35:35">
      <c r="AI779" s="1206"/>
    </row>
    <row r="780" spans="35:35">
      <c r="AI780" s="1206"/>
    </row>
    <row r="781" spans="35:35">
      <c r="AI781" s="1206"/>
    </row>
    <row r="782" spans="35:35">
      <c r="AI782" s="1206"/>
    </row>
    <row r="783" spans="35:35">
      <c r="AI783" s="1206"/>
    </row>
    <row r="784" spans="35:35">
      <c r="AI784" s="1206"/>
    </row>
    <row r="785" spans="35:35">
      <c r="AI785" s="1206"/>
    </row>
    <row r="786" spans="35:35">
      <c r="AI786" s="1206"/>
    </row>
    <row r="787" spans="35:35">
      <c r="AI787" s="1206"/>
    </row>
    <row r="788" spans="35:35">
      <c r="AI788" s="1206"/>
    </row>
    <row r="789" spans="35:35">
      <c r="AI789" s="1206"/>
    </row>
    <row r="790" spans="35:35">
      <c r="AI790" s="1206"/>
    </row>
    <row r="791" spans="35:35">
      <c r="AI791" s="1206"/>
    </row>
    <row r="792" spans="35:35">
      <c r="AI792" s="1206"/>
    </row>
    <row r="793" spans="35:35">
      <c r="AI793" s="1206"/>
    </row>
    <row r="794" spans="35:35">
      <c r="AI794" s="1206"/>
    </row>
    <row r="795" spans="35:35">
      <c r="AI795" s="1206"/>
    </row>
    <row r="796" spans="35:35">
      <c r="AI796" s="1206"/>
    </row>
    <row r="797" spans="35:35">
      <c r="AI797" s="1206"/>
    </row>
    <row r="798" spans="35:35">
      <c r="AI798" s="1206"/>
    </row>
    <row r="799" spans="35:35">
      <c r="AI799" s="1206"/>
    </row>
    <row r="800" spans="35:35">
      <c r="AI800" s="1206"/>
    </row>
    <row r="801" spans="35:35">
      <c r="AI801" s="1206"/>
    </row>
    <row r="802" spans="35:35">
      <c r="AI802" s="1206"/>
    </row>
    <row r="803" spans="35:35">
      <c r="AI803" s="1206"/>
    </row>
    <row r="804" spans="35:35">
      <c r="AI804" s="1206"/>
    </row>
    <row r="805" spans="35:35">
      <c r="AI805" s="1206"/>
    </row>
    <row r="806" spans="35:35">
      <c r="AI806" s="1206"/>
    </row>
    <row r="807" spans="35:35">
      <c r="AI807" s="1206"/>
    </row>
    <row r="808" spans="35:35">
      <c r="AI808" s="1206"/>
    </row>
    <row r="809" spans="35:35">
      <c r="AI809" s="1206"/>
    </row>
    <row r="810" spans="35:35">
      <c r="AI810" s="1206"/>
    </row>
    <row r="811" spans="35:35">
      <c r="AI811" s="1206"/>
    </row>
    <row r="812" spans="35:35">
      <c r="AI812" s="1206"/>
    </row>
    <row r="813" spans="35:35">
      <c r="AI813" s="1206"/>
    </row>
    <row r="814" spans="35:35">
      <c r="AI814" s="1206"/>
    </row>
    <row r="815" spans="35:35">
      <c r="AI815" s="1206"/>
    </row>
    <row r="816" spans="35:35">
      <c r="AI816" s="1206"/>
    </row>
    <row r="817" spans="35:35">
      <c r="AI817" s="1206"/>
    </row>
    <row r="818" spans="35:35">
      <c r="AI818" s="1206"/>
    </row>
    <row r="819" spans="35:35">
      <c r="AI819" s="1206"/>
    </row>
    <row r="820" spans="35:35">
      <c r="AI820" s="1206"/>
    </row>
    <row r="821" spans="35:35">
      <c r="AI821" s="1206"/>
    </row>
    <row r="822" spans="35:35">
      <c r="AI822" s="1206"/>
    </row>
    <row r="823" spans="35:35">
      <c r="AI823" s="1206"/>
    </row>
    <row r="824" spans="35:35">
      <c r="AI824" s="1206"/>
    </row>
    <row r="825" spans="35:35">
      <c r="AI825" s="1206"/>
    </row>
    <row r="826" spans="35:35">
      <c r="AI826" s="1206"/>
    </row>
    <row r="827" spans="35:35">
      <c r="AI827" s="1206"/>
    </row>
    <row r="828" spans="35:35">
      <c r="AI828" s="1206"/>
    </row>
    <row r="829" spans="35:35">
      <c r="AI829" s="1206"/>
    </row>
    <row r="830" spans="35:35">
      <c r="AI830" s="1206"/>
    </row>
    <row r="831" spans="35:35">
      <c r="AI831" s="1206"/>
    </row>
    <row r="832" spans="35:35">
      <c r="AI832" s="1206"/>
    </row>
    <row r="833" spans="35:35">
      <c r="AI833" s="1206"/>
    </row>
    <row r="834" spans="35:35">
      <c r="AI834" s="1206"/>
    </row>
    <row r="835" spans="35:35">
      <c r="AI835" s="1206"/>
    </row>
    <row r="836" spans="35:35">
      <c r="AI836" s="1206"/>
    </row>
    <row r="837" spans="35:35">
      <c r="AI837" s="1206"/>
    </row>
    <row r="838" spans="35:35">
      <c r="AI838" s="1206"/>
    </row>
    <row r="839" spans="35:35">
      <c r="AI839" s="1206"/>
    </row>
    <row r="840" spans="35:35">
      <c r="AI840" s="1206"/>
    </row>
    <row r="841" spans="35:35">
      <c r="AI841" s="1206"/>
    </row>
    <row r="842" spans="35:35">
      <c r="AI842" s="1206"/>
    </row>
    <row r="843" spans="35:35">
      <c r="AI843" s="1206"/>
    </row>
    <row r="844" spans="35:35">
      <c r="AI844" s="1206"/>
    </row>
    <row r="845" spans="35:35">
      <c r="AI845" s="1206"/>
    </row>
    <row r="846" spans="35:35">
      <c r="AI846" s="1206"/>
    </row>
    <row r="847" spans="35:35">
      <c r="AI847" s="1206"/>
    </row>
    <row r="848" spans="35:35">
      <c r="AI848" s="1206"/>
    </row>
    <row r="849" spans="35:35">
      <c r="AI849" s="1206"/>
    </row>
    <row r="850" spans="35:35">
      <c r="AI850" s="1206"/>
    </row>
    <row r="851" spans="35:35">
      <c r="AI851" s="1206"/>
    </row>
    <row r="852" spans="35:35">
      <c r="AI852" s="1206"/>
    </row>
    <row r="853" spans="35:35">
      <c r="AI853" s="1206"/>
    </row>
    <row r="854" spans="35:35">
      <c r="AI854" s="1206"/>
    </row>
    <row r="855" spans="35:35">
      <c r="AI855" s="1206"/>
    </row>
    <row r="856" spans="35:35">
      <c r="AI856" s="1206"/>
    </row>
    <row r="857" spans="35:35">
      <c r="AI857" s="1206"/>
    </row>
    <row r="858" spans="35:35">
      <c r="AI858" s="1206"/>
    </row>
    <row r="859" spans="35:35">
      <c r="AI859" s="1206"/>
    </row>
    <row r="860" spans="35:35">
      <c r="AI860" s="1206"/>
    </row>
    <row r="861" spans="35:35">
      <c r="AI861" s="1206"/>
    </row>
    <row r="862" spans="35:35">
      <c r="AI862" s="1206"/>
    </row>
    <row r="863" spans="35:35">
      <c r="AI863" s="1206"/>
    </row>
    <row r="864" spans="35:35">
      <c r="AI864" s="1206"/>
    </row>
    <row r="865" spans="35:35">
      <c r="AI865" s="1206"/>
    </row>
    <row r="866" spans="35:35">
      <c r="AI866" s="1206"/>
    </row>
    <row r="867" spans="35:35">
      <c r="AI867" s="1206"/>
    </row>
    <row r="868" spans="35:35">
      <c r="AI868" s="1206"/>
    </row>
    <row r="869" spans="35:35">
      <c r="AI869" s="1206"/>
    </row>
    <row r="870" spans="35:35">
      <c r="AI870" s="1206"/>
    </row>
    <row r="871" spans="35:35">
      <c r="AI871" s="1206"/>
    </row>
    <row r="872" spans="35:35">
      <c r="AI872" s="1206"/>
    </row>
    <row r="873" spans="35:35">
      <c r="AI873" s="1206"/>
    </row>
    <row r="874" spans="35:35">
      <c r="AI874" s="1206"/>
    </row>
    <row r="875" spans="35:35">
      <c r="AI875" s="1206"/>
    </row>
    <row r="876" spans="35:35">
      <c r="AI876" s="1206"/>
    </row>
    <row r="877" spans="35:35">
      <c r="AI877" s="1206"/>
    </row>
    <row r="878" spans="35:35">
      <c r="AI878" s="1206"/>
    </row>
    <row r="879" spans="35:35">
      <c r="AI879" s="1206"/>
    </row>
    <row r="880" spans="35:35">
      <c r="AI880" s="1206"/>
    </row>
    <row r="881" spans="35:35">
      <c r="AI881" s="1206"/>
    </row>
    <row r="882" spans="35:35">
      <c r="AI882" s="1206"/>
    </row>
    <row r="883" spans="35:35">
      <c r="AI883" s="1206"/>
    </row>
    <row r="884" spans="35:35">
      <c r="AI884" s="1206"/>
    </row>
    <row r="885" spans="35:35">
      <c r="AI885" s="1206"/>
    </row>
    <row r="886" spans="35:35">
      <c r="AI886" s="1206"/>
    </row>
    <row r="887" spans="35:35">
      <c r="AI887" s="1206"/>
    </row>
    <row r="888" spans="35:35">
      <c r="AI888" s="1206"/>
    </row>
    <row r="889" spans="35:35">
      <c r="AI889" s="1206"/>
    </row>
    <row r="890" spans="35:35">
      <c r="AI890" s="1206"/>
    </row>
    <row r="891" spans="35:35">
      <c r="AI891" s="1206"/>
    </row>
    <row r="892" spans="35:35">
      <c r="AI892" s="1206"/>
    </row>
    <row r="893" spans="35:35">
      <c r="AI893" s="1206"/>
    </row>
    <row r="894" spans="35:35">
      <c r="AI894" s="1206"/>
    </row>
    <row r="895" spans="35:35">
      <c r="AI895" s="1206"/>
    </row>
    <row r="896" spans="35:35">
      <c r="AI896" s="1206"/>
    </row>
    <row r="897" spans="35:35">
      <c r="AI897" s="1206"/>
    </row>
    <row r="898" spans="35:35">
      <c r="AI898" s="1206"/>
    </row>
    <row r="899" spans="35:35">
      <c r="AI899" s="1206"/>
    </row>
    <row r="900" spans="35:35">
      <c r="AI900" s="1206"/>
    </row>
    <row r="901" spans="35:35">
      <c r="AI901" s="1206"/>
    </row>
    <row r="902" spans="35:35">
      <c r="AI902" s="1206"/>
    </row>
    <row r="903" spans="35:35">
      <c r="AI903" s="1206"/>
    </row>
    <row r="904" spans="35:35">
      <c r="AI904" s="1206"/>
    </row>
    <row r="905" spans="35:35">
      <c r="AI905" s="1206"/>
    </row>
    <row r="906" spans="35:35">
      <c r="AI906" s="1206"/>
    </row>
    <row r="907" spans="35:35">
      <c r="AI907" s="1206"/>
    </row>
    <row r="908" spans="35:35">
      <c r="AI908" s="1206"/>
    </row>
    <row r="909" spans="35:35">
      <c r="AI909" s="1206"/>
    </row>
    <row r="910" spans="35:35">
      <c r="AI910" s="1206"/>
    </row>
    <row r="911" spans="35:35">
      <c r="AI911" s="1206"/>
    </row>
    <row r="912" spans="35:35">
      <c r="AI912" s="1206"/>
    </row>
    <row r="913" spans="35:35">
      <c r="AI913" s="1206"/>
    </row>
    <row r="914" spans="35:35">
      <c r="AI914" s="1206"/>
    </row>
    <row r="915" spans="35:35">
      <c r="AI915" s="1206"/>
    </row>
    <row r="916" spans="35:35">
      <c r="AI916" s="1206"/>
    </row>
    <row r="917" spans="35:35">
      <c r="AI917" s="1206"/>
    </row>
    <row r="918" spans="35:35">
      <c r="AI918" s="1206"/>
    </row>
    <row r="919" spans="35:35">
      <c r="AI919" s="1206"/>
    </row>
    <row r="920" spans="35:35">
      <c r="AI920" s="1206"/>
    </row>
    <row r="921" spans="35:35">
      <c r="AI921" s="1206"/>
    </row>
    <row r="922" spans="35:35">
      <c r="AI922" s="1206"/>
    </row>
    <row r="923" spans="35:35">
      <c r="AI923" s="1206"/>
    </row>
    <row r="924" spans="35:35">
      <c r="AI924" s="1206"/>
    </row>
    <row r="925" spans="35:35">
      <c r="AI925" s="1206"/>
    </row>
    <row r="926" spans="35:35">
      <c r="AI926" s="1206"/>
    </row>
    <row r="927" spans="35:35">
      <c r="AI927" s="1206"/>
    </row>
    <row r="928" spans="35:35">
      <c r="AI928" s="1206"/>
    </row>
    <row r="929" spans="35:35">
      <c r="AI929" s="1206"/>
    </row>
    <row r="930" spans="35:35">
      <c r="AI930" s="1206"/>
    </row>
    <row r="931" spans="35:35">
      <c r="AI931" s="1206"/>
    </row>
    <row r="932" spans="35:35">
      <c r="AI932" s="1206"/>
    </row>
    <row r="933" spans="35:35">
      <c r="AI933" s="1206"/>
    </row>
    <row r="934" spans="35:35">
      <c r="AI934" s="1206"/>
    </row>
    <row r="935" spans="35:35">
      <c r="AI935" s="1206"/>
    </row>
    <row r="936" spans="35:35">
      <c r="AI936" s="1206"/>
    </row>
    <row r="937" spans="35:35">
      <c r="AI937" s="1206"/>
    </row>
    <row r="938" spans="35:35">
      <c r="AI938" s="1206"/>
    </row>
    <row r="939" spans="35:35">
      <c r="AI939" s="1206"/>
    </row>
    <row r="940" spans="35:35">
      <c r="AI940" s="1206"/>
    </row>
    <row r="941" spans="35:35">
      <c r="AI941" s="1206"/>
    </row>
    <row r="942" spans="35:35">
      <c r="AI942" s="1206"/>
    </row>
    <row r="943" spans="35:35">
      <c r="AI943" s="1206"/>
    </row>
    <row r="944" spans="35:35">
      <c r="AI944" s="1206"/>
    </row>
    <row r="945" spans="35:35">
      <c r="AI945" s="1206"/>
    </row>
    <row r="946" spans="35:35">
      <c r="AI946" s="1206"/>
    </row>
    <row r="947" spans="35:35">
      <c r="AI947" s="1206"/>
    </row>
    <row r="948" spans="35:35">
      <c r="AI948" s="1206"/>
    </row>
    <row r="949" spans="35:35">
      <c r="AI949" s="1206"/>
    </row>
    <row r="950" spans="35:35">
      <c r="AI950" s="1206"/>
    </row>
    <row r="951" spans="35:35">
      <c r="AI951" s="1206"/>
    </row>
    <row r="952" spans="35:35">
      <c r="AI952" s="1206"/>
    </row>
    <row r="953" spans="35:35">
      <c r="AI953" s="1206"/>
    </row>
    <row r="954" spans="35:35">
      <c r="AI954" s="1206"/>
    </row>
    <row r="955" spans="35:35">
      <c r="AI955" s="1206"/>
    </row>
    <row r="956" spans="35:35">
      <c r="AI956" s="1206"/>
    </row>
    <row r="957" spans="35:35">
      <c r="AI957" s="1206"/>
    </row>
    <row r="958" spans="35:35">
      <c r="AI958" s="1206"/>
    </row>
    <row r="959" spans="35:35">
      <c r="AI959" s="1206"/>
    </row>
    <row r="960" spans="35:35">
      <c r="AI960" s="1206"/>
    </row>
    <row r="961" spans="35:35">
      <c r="AI961" s="1206"/>
    </row>
    <row r="962" spans="35:35">
      <c r="AI962" s="1206"/>
    </row>
    <row r="963" spans="35:35">
      <c r="AI963" s="1206"/>
    </row>
    <row r="964" spans="35:35">
      <c r="AI964" s="1206"/>
    </row>
    <row r="965" spans="35:35">
      <c r="AI965" s="1206"/>
    </row>
    <row r="966" spans="35:35">
      <c r="AI966" s="1206"/>
    </row>
    <row r="967" spans="35:35">
      <c r="AI967" s="1206"/>
    </row>
    <row r="968" spans="35:35">
      <c r="AI968" s="1206"/>
    </row>
    <row r="969" spans="35:35">
      <c r="AI969" s="1206"/>
    </row>
    <row r="970" spans="35:35">
      <c r="AI970" s="1206"/>
    </row>
    <row r="971" spans="35:35">
      <c r="AI971" s="1206"/>
    </row>
    <row r="972" spans="35:35">
      <c r="AI972" s="1206"/>
    </row>
    <row r="973" spans="35:35">
      <c r="AI973" s="1206"/>
    </row>
    <row r="974" spans="35:35">
      <c r="AI974" s="1206"/>
    </row>
    <row r="975" spans="35:35">
      <c r="AI975" s="1206"/>
    </row>
    <row r="976" spans="35:35">
      <c r="AI976" s="1206"/>
    </row>
    <row r="977" spans="35:35">
      <c r="AI977" s="1206"/>
    </row>
    <row r="978" spans="35:35">
      <c r="AI978" s="1206"/>
    </row>
    <row r="979" spans="35:35">
      <c r="AI979" s="1206"/>
    </row>
    <row r="980" spans="35:35">
      <c r="AI980" s="1206"/>
    </row>
    <row r="981" spans="35:35">
      <c r="AI981" s="1206"/>
    </row>
    <row r="982" spans="35:35">
      <c r="AI982" s="1206"/>
    </row>
    <row r="983" spans="35:35">
      <c r="AI983" s="1206"/>
    </row>
    <row r="984" spans="35:35">
      <c r="AI984" s="1206"/>
    </row>
    <row r="985" spans="35:35">
      <c r="AI985" s="1206"/>
    </row>
    <row r="986" spans="35:35">
      <c r="AI986" s="1206"/>
    </row>
    <row r="987" spans="35:35">
      <c r="AI987" s="1206"/>
    </row>
    <row r="988" spans="35:35">
      <c r="AI988" s="1206"/>
    </row>
    <row r="989" spans="35:35">
      <c r="AI989" s="1206"/>
    </row>
    <row r="990" spans="35:35">
      <c r="AI990" s="1206"/>
    </row>
    <row r="991" spans="35:35">
      <c r="AI991" s="1206"/>
    </row>
    <row r="992" spans="35:35">
      <c r="AI992" s="1206"/>
    </row>
    <row r="993" spans="35:35">
      <c r="AI993" s="1206"/>
    </row>
    <row r="994" spans="35:35">
      <c r="AI994" s="1206"/>
    </row>
    <row r="995" spans="35:35">
      <c r="AI995" s="1206"/>
    </row>
    <row r="996" spans="35:35">
      <c r="AI996" s="1206"/>
    </row>
    <row r="997" spans="35:35">
      <c r="AI997" s="1206"/>
    </row>
    <row r="998" spans="35:35">
      <c r="AI998" s="1206"/>
    </row>
    <row r="999" spans="35:35">
      <c r="AI999" s="1206"/>
    </row>
    <row r="1000" spans="35:35">
      <c r="AI1000" s="1206"/>
    </row>
    <row r="1001" spans="35:35">
      <c r="AI1001" s="1206"/>
    </row>
    <row r="1002" spans="35:35">
      <c r="AI1002" s="1206"/>
    </row>
    <row r="1003" spans="35:35">
      <c r="AI1003" s="1206"/>
    </row>
    <row r="1004" spans="35:35">
      <c r="AI1004" s="1206"/>
    </row>
    <row r="1005" spans="35:35">
      <c r="AI1005" s="1206"/>
    </row>
    <row r="1006" spans="35:35">
      <c r="AI1006" s="1206"/>
    </row>
    <row r="1007" spans="35:35">
      <c r="AI1007" s="1206"/>
    </row>
    <row r="1008" spans="35:35">
      <c r="AI1008" s="1206"/>
    </row>
    <row r="1009" spans="35:35">
      <c r="AI1009" s="1206"/>
    </row>
    <row r="1010" spans="35:35">
      <c r="AI1010" s="1206"/>
    </row>
    <row r="1011" spans="35:35">
      <c r="AI1011" s="1206"/>
    </row>
    <row r="1012" spans="35:35">
      <c r="AI1012" s="1206"/>
    </row>
    <row r="1013" spans="35:35">
      <c r="AI1013" s="1206"/>
    </row>
    <row r="1014" spans="35:35">
      <c r="AI1014" s="1206"/>
    </row>
    <row r="1015" spans="35:35">
      <c r="AI1015" s="1206"/>
    </row>
    <row r="1016" spans="35:35">
      <c r="AI1016" s="1206"/>
    </row>
    <row r="1017" spans="35:35">
      <c r="AI1017" s="1206"/>
    </row>
    <row r="1018" spans="35:35">
      <c r="AI1018" s="1206"/>
    </row>
    <row r="1019" spans="35:35">
      <c r="AI1019" s="1206"/>
    </row>
    <row r="1020" spans="35:35">
      <c r="AI1020" s="1206"/>
    </row>
    <row r="1021" spans="35:35">
      <c r="AI1021" s="1206"/>
    </row>
    <row r="1022" spans="35:35">
      <c r="AI1022" s="1206"/>
    </row>
    <row r="1023" spans="35:35">
      <c r="AI1023" s="1206"/>
    </row>
    <row r="1024" spans="35:35">
      <c r="AI1024" s="1206"/>
    </row>
    <row r="1025" spans="35:35">
      <c r="AI1025" s="1206"/>
    </row>
  </sheetData>
  <mergeCells count="17">
    <mergeCell ref="C28:F28"/>
    <mergeCell ref="H28:O28"/>
    <mergeCell ref="C29:F29"/>
    <mergeCell ref="H29:O29"/>
    <mergeCell ref="C30:F30"/>
    <mergeCell ref="H30:P30"/>
    <mergeCell ref="D22:J22"/>
    <mergeCell ref="L22:M22"/>
    <mergeCell ref="C26:F26"/>
    <mergeCell ref="H26:P26"/>
    <mergeCell ref="C27:F27"/>
    <mergeCell ref="H27:P27"/>
    <mergeCell ref="C3:O5"/>
    <mergeCell ref="D7:N9"/>
    <mergeCell ref="J11:M11"/>
    <mergeCell ref="C16:P19"/>
    <mergeCell ref="D21:J21"/>
  </mergeCells>
  <conditionalFormatting sqref="AI2:AI1025">
    <cfRule type="cellIs" dxfId="3" priority="2" stopIfTrue="1" operator="lessThan">
      <formula>1</formula>
    </cfRule>
  </conditionalFormatting>
  <conditionalFormatting sqref="AI1">
    <cfRule type="cellIs" dxfId="2" priority="1" stopIfTrue="1" operator="lessThan">
      <formula>1</formula>
    </cfRule>
  </conditionalFormatting>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dimension ref="A1:L100"/>
  <sheetViews>
    <sheetView view="pageBreakPreview" topLeftCell="A7" zoomScale="85" zoomScaleSheetLayoutView="85" workbookViewId="0">
      <selection activeCell="E7" sqref="E7:H7"/>
    </sheetView>
  </sheetViews>
  <sheetFormatPr defaultColWidth="14.42578125" defaultRowHeight="15" customHeight="1"/>
  <cols>
    <col min="1" max="1" width="4.5703125" style="1167" customWidth="1"/>
    <col min="2" max="2" width="3.42578125" style="1167" customWidth="1"/>
    <col min="3" max="3" width="31.7109375" style="1167" customWidth="1"/>
    <col min="4" max="4" width="2" style="1167" customWidth="1"/>
    <col min="5" max="5" width="3.28515625" style="1167" customWidth="1"/>
    <col min="6" max="6" width="1.85546875" style="1167" customWidth="1"/>
    <col min="7" max="7" width="8" style="1167" customWidth="1"/>
    <col min="8" max="8" width="39.5703125" style="1167" customWidth="1"/>
    <col min="9" max="12" width="9.140625" style="1167" customWidth="1"/>
    <col min="13" max="16384" width="14.42578125" style="1167"/>
  </cols>
  <sheetData>
    <row r="1" spans="1:12" ht="18.75">
      <c r="A1" s="1488" t="s">
        <v>1271</v>
      </c>
      <c r="B1" s="1476"/>
      <c r="C1" s="1476"/>
      <c r="D1" s="1476"/>
      <c r="E1" s="1476"/>
      <c r="F1" s="1476"/>
      <c r="G1" s="1476"/>
      <c r="H1" s="1476"/>
      <c r="I1" s="1166"/>
      <c r="J1" s="1166"/>
      <c r="K1" s="1166"/>
      <c r="L1" s="1166"/>
    </row>
    <row r="2" spans="1:12" ht="20.25" customHeight="1">
      <c r="A2" s="1488" t="s">
        <v>1282</v>
      </c>
      <c r="B2" s="1476"/>
      <c r="C2" s="1476"/>
      <c r="D2" s="1476"/>
      <c r="E2" s="1476"/>
      <c r="F2" s="1476"/>
      <c r="G2" s="1476"/>
      <c r="H2" s="1476"/>
      <c r="I2" s="1166"/>
      <c r="J2" s="1166"/>
      <c r="K2" s="1166"/>
      <c r="L2" s="1166"/>
    </row>
    <row r="3" spans="1:12" ht="31.5" customHeight="1">
      <c r="A3" s="1168">
        <v>1</v>
      </c>
      <c r="B3" s="1489" t="s">
        <v>1272</v>
      </c>
      <c r="C3" s="1476"/>
      <c r="D3" s="1169" t="s">
        <v>1273</v>
      </c>
      <c r="E3" s="1490"/>
      <c r="F3" s="1476"/>
      <c r="G3" s="1476"/>
      <c r="H3" s="1476"/>
      <c r="I3" s="1168"/>
      <c r="J3" s="1168"/>
      <c r="K3" s="1168"/>
      <c r="L3" s="1168"/>
    </row>
    <row r="4" spans="1:12" ht="24" customHeight="1">
      <c r="A4" s="1170">
        <v>2</v>
      </c>
      <c r="B4" s="1483" t="s">
        <v>1274</v>
      </c>
      <c r="C4" s="1476"/>
      <c r="D4" s="1171" t="s">
        <v>1273</v>
      </c>
      <c r="E4" s="1172">
        <v>1</v>
      </c>
      <c r="F4" s="1482" t="s">
        <v>1287</v>
      </c>
      <c r="G4" s="1476"/>
      <c r="H4" s="1476"/>
      <c r="I4" s="1170"/>
      <c r="J4" s="1170"/>
      <c r="K4" s="1170"/>
      <c r="L4" s="1170"/>
    </row>
    <row r="5" spans="1:12" ht="24" customHeight="1">
      <c r="A5" s="1173"/>
      <c r="B5" s="1173"/>
      <c r="C5" s="1173"/>
      <c r="D5" s="1171" t="s">
        <v>1273</v>
      </c>
      <c r="E5" s="1172">
        <v>2</v>
      </c>
      <c r="F5" s="1482" t="s">
        <v>1288</v>
      </c>
      <c r="G5" s="1476"/>
      <c r="H5" s="1476"/>
      <c r="I5" s="1173"/>
      <c r="J5" s="1173"/>
      <c r="K5" s="1173"/>
      <c r="L5" s="1173"/>
    </row>
    <row r="6" spans="1:12" ht="18" customHeight="1">
      <c r="A6" s="1173"/>
      <c r="B6" s="1173"/>
      <c r="C6" s="1173"/>
      <c r="D6" s="1174" t="s">
        <v>1273</v>
      </c>
      <c r="E6" s="1172">
        <v>3</v>
      </c>
      <c r="F6" s="1482" t="s">
        <v>1289</v>
      </c>
      <c r="G6" s="1476"/>
      <c r="H6" s="1476"/>
      <c r="I6" s="1173"/>
      <c r="J6" s="1173"/>
      <c r="K6" s="1173"/>
      <c r="L6" s="1173"/>
    </row>
    <row r="7" spans="1:12" ht="156" customHeight="1">
      <c r="A7" s="1170">
        <v>3</v>
      </c>
      <c r="B7" s="1483" t="s">
        <v>1275</v>
      </c>
      <c r="C7" s="1476"/>
      <c r="D7" s="1171" t="s">
        <v>1273</v>
      </c>
      <c r="E7" s="1484" t="str">
        <f>'Final Estimate'!A2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F7" s="1485"/>
      <c r="G7" s="1485"/>
      <c r="H7" s="1485"/>
      <c r="I7" s="1170"/>
      <c r="J7" s="1170"/>
      <c r="K7" s="1170"/>
      <c r="L7" s="1170"/>
    </row>
    <row r="8" spans="1:12">
      <c r="A8" s="1173">
        <v>4</v>
      </c>
      <c r="B8" s="1486" t="s">
        <v>1276</v>
      </c>
      <c r="C8" s="1476"/>
      <c r="D8" s="1174" t="s">
        <v>1273</v>
      </c>
      <c r="E8" s="1487" t="s">
        <v>692</v>
      </c>
      <c r="F8" s="1476"/>
      <c r="G8" s="1175" t="str">
        <f>'Spec Report'!F3</f>
        <v xml:space="preserve">100.00 Lakhs </v>
      </c>
      <c r="H8" s="1175"/>
      <c r="I8" s="1173"/>
      <c r="J8" s="1173"/>
      <c r="K8" s="1173"/>
      <c r="L8" s="1173"/>
    </row>
    <row r="9" spans="1:12" ht="36" customHeight="1">
      <c r="A9" s="1176">
        <v>5</v>
      </c>
      <c r="B9" s="1477" t="s">
        <v>1277</v>
      </c>
      <c r="C9" s="1476"/>
      <c r="D9" s="1177" t="s">
        <v>1273</v>
      </c>
      <c r="E9" s="1478" t="s">
        <v>1284</v>
      </c>
      <c r="F9" s="1479"/>
      <c r="G9" s="1479"/>
      <c r="H9" s="1479"/>
      <c r="I9" s="1176"/>
      <c r="J9" s="1176"/>
      <c r="K9" s="1176"/>
      <c r="L9" s="1176"/>
    </row>
    <row r="10" spans="1:12" ht="21.75" customHeight="1">
      <c r="A10" s="1173">
        <v>6</v>
      </c>
      <c r="B10" s="1480" t="s">
        <v>1278</v>
      </c>
      <c r="C10" s="1476"/>
      <c r="D10" s="1174" t="s">
        <v>1273</v>
      </c>
      <c r="E10" s="1481" t="s">
        <v>1283</v>
      </c>
      <c r="F10" s="1479"/>
      <c r="G10" s="1479"/>
      <c r="H10" s="1479"/>
      <c r="I10" s="1173"/>
      <c r="J10" s="1173"/>
      <c r="K10" s="1173"/>
      <c r="L10" s="1173"/>
    </row>
    <row r="11" spans="1:12" ht="42.75" customHeight="1">
      <c r="A11" s="1176"/>
      <c r="B11" s="1176"/>
      <c r="C11" s="1475" t="s">
        <v>1414</v>
      </c>
      <c r="D11" s="1476"/>
      <c r="E11" s="1476"/>
      <c r="F11" s="1476"/>
      <c r="G11" s="1476"/>
      <c r="H11" s="1476"/>
      <c r="I11" s="1176"/>
      <c r="J11" s="1176"/>
      <c r="K11" s="1176"/>
      <c r="L11" s="1176"/>
    </row>
    <row r="12" spans="1:12" ht="31.5" customHeight="1">
      <c r="A12" s="1170"/>
      <c r="B12" s="1170"/>
      <c r="C12" s="1475" t="s">
        <v>1333</v>
      </c>
      <c r="D12" s="1476"/>
      <c r="E12" s="1476"/>
      <c r="F12" s="1476"/>
      <c r="G12" s="1476"/>
      <c r="H12" s="1476"/>
      <c r="I12" s="1170"/>
      <c r="J12" s="1170"/>
      <c r="K12" s="1170"/>
      <c r="L12" s="1170"/>
    </row>
    <row r="13" spans="1:12" ht="31.5" customHeight="1">
      <c r="A13" s="1170"/>
      <c r="B13" s="1170"/>
      <c r="C13" s="1475" t="s">
        <v>1285</v>
      </c>
      <c r="D13" s="1476"/>
      <c r="E13" s="1476"/>
      <c r="F13" s="1476"/>
      <c r="G13" s="1476"/>
      <c r="H13" s="1476"/>
      <c r="I13" s="1170"/>
      <c r="J13" s="1170"/>
      <c r="K13" s="1170"/>
      <c r="L13" s="1170"/>
    </row>
    <row r="14" spans="1:12" ht="29.25" hidden="1" customHeight="1">
      <c r="A14" s="1176"/>
      <c r="B14" s="1176"/>
      <c r="C14" s="1477" t="s">
        <v>1279</v>
      </c>
      <c r="D14" s="1476"/>
      <c r="E14" s="1476"/>
      <c r="F14" s="1476"/>
      <c r="G14" s="1476"/>
      <c r="H14" s="1476"/>
      <c r="I14" s="1176"/>
      <c r="J14" s="1176"/>
      <c r="K14" s="1176"/>
      <c r="L14" s="1176"/>
    </row>
    <row r="15" spans="1:12" ht="39.75" customHeight="1">
      <c r="A15" s="1173"/>
      <c r="B15" s="1173"/>
      <c r="C15" s="1475" t="s">
        <v>1334</v>
      </c>
      <c r="D15" s="1476"/>
      <c r="E15" s="1476"/>
      <c r="F15" s="1476"/>
      <c r="G15" s="1476"/>
      <c r="H15" s="1476"/>
      <c r="I15" s="1173"/>
      <c r="J15" s="1173"/>
      <c r="K15" s="1173"/>
      <c r="L15" s="1173"/>
    </row>
    <row r="16" spans="1:12" ht="48" customHeight="1">
      <c r="A16" s="1173"/>
      <c r="B16" s="1173"/>
      <c r="C16" s="1475" t="s">
        <v>1413</v>
      </c>
      <c r="D16" s="1476"/>
      <c r="E16" s="1476"/>
      <c r="F16" s="1476"/>
      <c r="G16" s="1476"/>
      <c r="H16" s="1476"/>
      <c r="I16" s="1173"/>
      <c r="J16" s="1173"/>
      <c r="K16" s="1173"/>
      <c r="L16" s="1173"/>
    </row>
    <row r="17" spans="1:12">
      <c r="A17" s="1173"/>
      <c r="B17" s="1173"/>
      <c r="C17" s="1477"/>
      <c r="D17" s="1476"/>
      <c r="E17" s="1476"/>
      <c r="F17" s="1476"/>
      <c r="G17" s="1476"/>
      <c r="H17" s="1476"/>
      <c r="I17" s="1173"/>
      <c r="J17" s="1173"/>
      <c r="K17" s="1173"/>
      <c r="L17" s="1173"/>
    </row>
    <row r="18" spans="1:12" ht="36" customHeight="1">
      <c r="A18" s="1176"/>
      <c r="B18" s="1475" t="s">
        <v>1286</v>
      </c>
      <c r="C18" s="1476"/>
      <c r="D18" s="1476"/>
      <c r="E18" s="1476"/>
      <c r="F18" s="1476"/>
      <c r="G18" s="1476"/>
      <c r="H18" s="1476"/>
      <c r="I18" s="1176"/>
      <c r="J18" s="1176"/>
      <c r="K18" s="1176"/>
      <c r="L18" s="1176"/>
    </row>
    <row r="19" spans="1:12">
      <c r="A19" s="1173"/>
      <c r="B19" s="1173"/>
      <c r="C19" s="1173"/>
      <c r="D19" s="1178"/>
      <c r="E19" s="1173"/>
      <c r="F19" s="1173"/>
      <c r="G19" s="1173"/>
      <c r="H19" s="1173"/>
      <c r="I19" s="1173"/>
      <c r="J19" s="1173"/>
      <c r="K19" s="1173"/>
      <c r="L19" s="1173"/>
    </row>
    <row r="20" spans="1:12">
      <c r="A20" s="1173"/>
      <c r="B20" s="1173"/>
      <c r="C20" s="1173"/>
      <c r="D20" s="1178"/>
      <c r="E20" s="1173"/>
      <c r="F20" s="1173"/>
      <c r="G20" s="1173"/>
      <c r="H20" s="1173"/>
      <c r="I20" s="1173"/>
      <c r="J20" s="1173"/>
      <c r="K20" s="1173"/>
      <c r="L20" s="1173"/>
    </row>
    <row r="21" spans="1:12" ht="15.75" customHeight="1">
      <c r="A21" s="1173"/>
      <c r="B21" s="1173"/>
      <c r="C21" s="1173"/>
      <c r="D21" s="1178"/>
      <c r="E21" s="1173"/>
      <c r="F21" s="1173"/>
      <c r="G21" s="1173"/>
      <c r="H21" s="1179" t="s">
        <v>1280</v>
      </c>
      <c r="I21" s="1173"/>
      <c r="J21" s="1173"/>
      <c r="K21" s="1173"/>
      <c r="L21" s="1173"/>
    </row>
    <row r="22" spans="1:12" ht="15.75" customHeight="1">
      <c r="A22" s="1173"/>
      <c r="B22" s="1173"/>
      <c r="C22" s="1173"/>
      <c r="D22" s="1178"/>
      <c r="E22" s="1173"/>
      <c r="F22" s="1173"/>
      <c r="G22" s="1173"/>
      <c r="H22" s="1179" t="s">
        <v>1281</v>
      </c>
      <c r="I22" s="1173"/>
      <c r="J22" s="1173"/>
      <c r="K22" s="1173"/>
      <c r="L22" s="1173"/>
    </row>
    <row r="23" spans="1:12" ht="15.75" customHeight="1">
      <c r="A23" s="1173"/>
      <c r="B23" s="1173"/>
      <c r="C23" s="1173"/>
      <c r="D23" s="1178"/>
      <c r="E23" s="1173"/>
      <c r="F23" s="1173"/>
      <c r="G23" s="1173"/>
      <c r="H23" s="1173"/>
      <c r="I23" s="1173"/>
      <c r="J23" s="1173"/>
      <c r="K23" s="1173"/>
      <c r="L23" s="1173"/>
    </row>
    <row r="24" spans="1:12" ht="15.75" customHeight="1">
      <c r="A24" s="1173"/>
      <c r="B24" s="1173"/>
      <c r="C24" s="1173"/>
      <c r="D24" s="1178"/>
      <c r="E24" s="1173"/>
      <c r="F24" s="1173"/>
      <c r="G24" s="1173"/>
      <c r="H24" s="1173"/>
      <c r="I24" s="1173"/>
      <c r="J24" s="1173"/>
      <c r="K24" s="1173"/>
      <c r="L24" s="1173"/>
    </row>
    <row r="25" spans="1:12" ht="15.75" customHeight="1">
      <c r="A25" s="1173"/>
      <c r="B25" s="1173"/>
      <c r="C25" s="1173"/>
      <c r="D25" s="1178"/>
      <c r="E25" s="1173"/>
      <c r="F25" s="1173"/>
      <c r="G25" s="1173"/>
      <c r="H25" s="1173"/>
      <c r="I25" s="1173"/>
      <c r="J25" s="1173"/>
      <c r="K25" s="1173"/>
      <c r="L25" s="1173"/>
    </row>
    <row r="26" spans="1:12" ht="15.75" customHeight="1">
      <c r="A26" s="1173"/>
      <c r="B26" s="1173"/>
      <c r="C26" s="1173"/>
      <c r="D26" s="1178"/>
      <c r="E26" s="1173"/>
      <c r="F26" s="1173"/>
      <c r="G26" s="1173"/>
      <c r="H26" s="1173"/>
      <c r="I26" s="1173"/>
      <c r="J26" s="1173"/>
      <c r="K26" s="1173"/>
      <c r="L26" s="1173"/>
    </row>
    <row r="27" spans="1:12" ht="15.75" customHeight="1">
      <c r="A27" s="1173"/>
      <c r="B27" s="1173"/>
      <c r="C27" s="1173"/>
      <c r="D27" s="1178"/>
      <c r="E27" s="1173"/>
      <c r="F27" s="1173"/>
      <c r="G27" s="1173"/>
      <c r="H27" s="1173"/>
      <c r="I27" s="1173"/>
      <c r="J27" s="1173"/>
      <c r="K27" s="1173"/>
      <c r="L27" s="1173"/>
    </row>
    <row r="28" spans="1:12" ht="15.75" customHeight="1">
      <c r="A28" s="1173"/>
      <c r="B28" s="1173"/>
      <c r="C28" s="1173"/>
      <c r="D28" s="1178"/>
      <c r="E28" s="1173"/>
      <c r="F28" s="1173"/>
      <c r="G28" s="1173"/>
      <c r="H28" s="1173"/>
      <c r="I28" s="1173"/>
      <c r="J28" s="1173"/>
      <c r="K28" s="1173"/>
      <c r="L28" s="1173"/>
    </row>
    <row r="29" spans="1:12" ht="15.75" customHeight="1">
      <c r="A29" s="1173"/>
      <c r="B29" s="1173"/>
      <c r="C29" s="1173"/>
      <c r="D29" s="1178"/>
      <c r="E29" s="1173"/>
      <c r="F29" s="1173"/>
      <c r="G29" s="1173"/>
      <c r="H29" s="1173"/>
      <c r="I29" s="1173"/>
      <c r="J29" s="1173"/>
      <c r="K29" s="1173"/>
      <c r="L29" s="1173"/>
    </row>
    <row r="30" spans="1:12" ht="15.75" customHeight="1">
      <c r="A30" s="1173"/>
      <c r="B30" s="1173"/>
      <c r="C30" s="1173"/>
      <c r="D30" s="1178"/>
      <c r="E30" s="1173"/>
      <c r="F30" s="1173"/>
      <c r="G30" s="1173"/>
      <c r="H30" s="1173"/>
      <c r="I30" s="1173"/>
      <c r="J30" s="1173"/>
      <c r="K30" s="1173"/>
      <c r="L30" s="1173"/>
    </row>
    <row r="31" spans="1:12" ht="15.75" customHeight="1">
      <c r="A31" s="1173"/>
      <c r="B31" s="1173"/>
      <c r="C31" s="1173"/>
      <c r="D31" s="1178"/>
      <c r="E31" s="1173"/>
      <c r="F31" s="1173"/>
      <c r="G31" s="1173"/>
      <c r="H31" s="1173"/>
      <c r="I31" s="1173"/>
      <c r="J31" s="1173"/>
      <c r="K31" s="1173"/>
      <c r="L31" s="1173"/>
    </row>
    <row r="32" spans="1:12" ht="15.75" customHeight="1">
      <c r="A32" s="1173"/>
      <c r="B32" s="1173"/>
      <c r="C32" s="1173"/>
      <c r="D32" s="1178"/>
      <c r="E32" s="1173"/>
      <c r="F32" s="1173"/>
      <c r="G32" s="1173"/>
      <c r="H32" s="1173"/>
      <c r="I32" s="1173"/>
      <c r="J32" s="1173"/>
      <c r="K32" s="1173"/>
      <c r="L32" s="1173"/>
    </row>
    <row r="33" spans="1:12" ht="15.75" customHeight="1">
      <c r="A33" s="1173"/>
      <c r="B33" s="1173"/>
      <c r="C33" s="1173"/>
      <c r="D33" s="1178"/>
      <c r="E33" s="1173"/>
      <c r="F33" s="1173"/>
      <c r="G33" s="1173"/>
      <c r="H33" s="1173"/>
      <c r="I33" s="1173"/>
      <c r="J33" s="1173"/>
      <c r="K33" s="1173"/>
      <c r="L33" s="1173"/>
    </row>
    <row r="34" spans="1:12" ht="15.75" customHeight="1">
      <c r="A34" s="1173"/>
      <c r="B34" s="1173"/>
      <c r="C34" s="1173"/>
      <c r="D34" s="1178"/>
      <c r="E34" s="1173"/>
      <c r="F34" s="1173"/>
      <c r="G34" s="1173"/>
      <c r="H34" s="1173"/>
      <c r="I34" s="1173"/>
      <c r="J34" s="1173"/>
      <c r="K34" s="1173"/>
      <c r="L34" s="1173"/>
    </row>
    <row r="35" spans="1:12" ht="15.75" customHeight="1">
      <c r="A35" s="1173"/>
      <c r="B35" s="1173"/>
      <c r="C35" s="1173"/>
      <c r="D35" s="1178"/>
      <c r="E35" s="1173"/>
      <c r="F35" s="1173"/>
      <c r="G35" s="1173"/>
      <c r="H35" s="1173"/>
      <c r="I35" s="1173"/>
      <c r="J35" s="1173"/>
      <c r="K35" s="1173"/>
      <c r="L35" s="1173"/>
    </row>
    <row r="36" spans="1:12" ht="15.75" customHeight="1">
      <c r="A36" s="1173"/>
      <c r="B36" s="1173"/>
      <c r="C36" s="1173"/>
      <c r="D36" s="1178"/>
      <c r="E36" s="1173"/>
      <c r="F36" s="1173"/>
      <c r="G36" s="1173"/>
      <c r="H36" s="1173"/>
      <c r="I36" s="1173"/>
      <c r="J36" s="1173"/>
      <c r="K36" s="1173"/>
      <c r="L36" s="1173"/>
    </row>
    <row r="37" spans="1:12" ht="15.75" customHeight="1">
      <c r="A37" s="1173"/>
      <c r="B37" s="1173"/>
      <c r="C37" s="1173"/>
      <c r="D37" s="1178"/>
      <c r="E37" s="1173"/>
      <c r="F37" s="1173"/>
      <c r="G37" s="1173"/>
      <c r="H37" s="1173"/>
      <c r="I37" s="1173"/>
      <c r="J37" s="1173"/>
      <c r="K37" s="1173"/>
      <c r="L37" s="1173"/>
    </row>
    <row r="38" spans="1:12" ht="15.75" customHeight="1">
      <c r="A38" s="1173"/>
      <c r="B38" s="1173"/>
      <c r="C38" s="1173"/>
      <c r="D38" s="1178"/>
      <c r="E38" s="1173"/>
      <c r="F38" s="1173"/>
      <c r="G38" s="1173"/>
      <c r="H38" s="1173"/>
      <c r="I38" s="1173"/>
      <c r="J38" s="1173"/>
      <c r="K38" s="1173"/>
      <c r="L38" s="1173"/>
    </row>
    <row r="39" spans="1:12" ht="15.75" customHeight="1">
      <c r="A39" s="1173"/>
      <c r="B39" s="1173"/>
      <c r="C39" s="1173"/>
      <c r="D39" s="1178"/>
      <c r="E39" s="1173"/>
      <c r="F39" s="1173"/>
      <c r="G39" s="1173"/>
      <c r="H39" s="1173"/>
      <c r="I39" s="1173"/>
      <c r="J39" s="1173"/>
      <c r="K39" s="1173"/>
      <c r="L39" s="1173"/>
    </row>
    <row r="40" spans="1:12" ht="15.75" customHeight="1">
      <c r="A40" s="1173"/>
      <c r="B40" s="1173"/>
      <c r="C40" s="1173"/>
      <c r="D40" s="1178"/>
      <c r="E40" s="1173"/>
      <c r="F40" s="1173"/>
      <c r="G40" s="1173"/>
      <c r="H40" s="1173"/>
      <c r="I40" s="1173"/>
      <c r="J40" s="1173"/>
      <c r="K40" s="1173"/>
      <c r="L40" s="1173"/>
    </row>
    <row r="41" spans="1:12" ht="15.75" customHeight="1">
      <c r="A41" s="1173"/>
      <c r="B41" s="1173"/>
      <c r="C41" s="1173"/>
      <c r="D41" s="1178"/>
      <c r="E41" s="1173"/>
      <c r="F41" s="1173"/>
      <c r="G41" s="1173"/>
      <c r="H41" s="1173"/>
      <c r="I41" s="1173"/>
      <c r="J41" s="1173"/>
      <c r="K41" s="1173"/>
      <c r="L41" s="1173"/>
    </row>
    <row r="42" spans="1:12" ht="15.75" customHeight="1">
      <c r="A42" s="1173"/>
      <c r="B42" s="1173"/>
      <c r="C42" s="1173"/>
      <c r="D42" s="1178"/>
      <c r="E42" s="1173"/>
      <c r="F42" s="1173"/>
      <c r="G42" s="1173"/>
      <c r="H42" s="1173"/>
      <c r="I42" s="1173"/>
      <c r="J42" s="1173"/>
      <c r="K42" s="1173"/>
      <c r="L42" s="1173"/>
    </row>
    <row r="43" spans="1:12" ht="15.75" customHeight="1">
      <c r="A43" s="1173"/>
      <c r="B43" s="1173"/>
      <c r="C43" s="1173"/>
      <c r="D43" s="1178"/>
      <c r="E43" s="1173"/>
      <c r="F43" s="1173"/>
      <c r="G43" s="1173"/>
      <c r="H43" s="1173"/>
      <c r="I43" s="1173"/>
      <c r="J43" s="1173"/>
      <c r="K43" s="1173"/>
      <c r="L43" s="1173"/>
    </row>
    <row r="44" spans="1:12" ht="15.75" customHeight="1">
      <c r="A44" s="1173"/>
      <c r="B44" s="1173"/>
      <c r="C44" s="1173"/>
      <c r="D44" s="1178"/>
      <c r="E44" s="1173"/>
      <c r="F44" s="1173"/>
      <c r="G44" s="1173"/>
      <c r="H44" s="1173"/>
      <c r="I44" s="1173"/>
      <c r="J44" s="1173"/>
      <c r="K44" s="1173"/>
      <c r="L44" s="1173"/>
    </row>
    <row r="45" spans="1:12" ht="15.75" customHeight="1">
      <c r="A45" s="1173"/>
      <c r="B45" s="1173"/>
      <c r="C45" s="1173"/>
      <c r="D45" s="1178"/>
      <c r="E45" s="1173"/>
      <c r="F45" s="1173"/>
      <c r="G45" s="1173"/>
      <c r="H45" s="1173"/>
      <c r="I45" s="1173"/>
      <c r="J45" s="1173"/>
      <c r="K45" s="1173"/>
      <c r="L45" s="1173"/>
    </row>
    <row r="46" spans="1:12" ht="15.75" customHeight="1">
      <c r="A46" s="1173"/>
      <c r="B46" s="1173"/>
      <c r="C46" s="1173"/>
      <c r="D46" s="1178"/>
      <c r="E46" s="1173"/>
      <c r="F46" s="1173"/>
      <c r="G46" s="1173"/>
      <c r="H46" s="1173"/>
      <c r="I46" s="1173"/>
      <c r="J46" s="1173"/>
      <c r="K46" s="1173"/>
      <c r="L46" s="1173"/>
    </row>
    <row r="47" spans="1:12" ht="15.75" customHeight="1">
      <c r="A47" s="1173"/>
      <c r="B47" s="1173"/>
      <c r="C47" s="1173"/>
      <c r="D47" s="1178"/>
      <c r="E47" s="1173"/>
      <c r="F47" s="1173"/>
      <c r="G47" s="1173"/>
      <c r="H47" s="1173"/>
      <c r="I47" s="1173"/>
      <c r="J47" s="1173"/>
      <c r="K47" s="1173"/>
      <c r="L47" s="1173"/>
    </row>
    <row r="48" spans="1:12" ht="15.75" customHeight="1">
      <c r="A48" s="1173"/>
      <c r="B48" s="1173"/>
      <c r="C48" s="1173"/>
      <c r="D48" s="1178"/>
      <c r="E48" s="1173"/>
      <c r="F48" s="1173"/>
      <c r="G48" s="1173"/>
      <c r="H48" s="1173"/>
      <c r="I48" s="1173"/>
      <c r="J48" s="1173"/>
      <c r="K48" s="1173"/>
      <c r="L48" s="1173"/>
    </row>
    <row r="49" spans="1:12" ht="15.75" customHeight="1">
      <c r="A49" s="1173"/>
      <c r="B49" s="1173"/>
      <c r="C49" s="1173"/>
      <c r="D49" s="1178"/>
      <c r="E49" s="1173"/>
      <c r="F49" s="1173"/>
      <c r="G49" s="1173"/>
      <c r="H49" s="1173"/>
      <c r="I49" s="1173"/>
      <c r="J49" s="1173"/>
      <c r="K49" s="1173"/>
      <c r="L49" s="1173"/>
    </row>
    <row r="50" spans="1:12" ht="15.75" customHeight="1">
      <c r="A50" s="1173"/>
      <c r="B50" s="1173"/>
      <c r="C50" s="1173"/>
      <c r="D50" s="1178"/>
      <c r="E50" s="1173"/>
      <c r="F50" s="1173"/>
      <c r="G50" s="1173"/>
      <c r="H50" s="1173"/>
      <c r="I50" s="1173"/>
      <c r="J50" s="1173"/>
      <c r="K50" s="1173"/>
      <c r="L50" s="1173"/>
    </row>
    <row r="51" spans="1:12" ht="15.75" customHeight="1">
      <c r="A51" s="1173"/>
      <c r="B51" s="1173"/>
      <c r="C51" s="1173"/>
      <c r="D51" s="1178"/>
      <c r="E51" s="1173"/>
      <c r="F51" s="1173"/>
      <c r="G51" s="1173"/>
      <c r="H51" s="1173"/>
      <c r="I51" s="1173"/>
      <c r="J51" s="1173"/>
      <c r="K51" s="1173"/>
      <c r="L51" s="1173"/>
    </row>
    <row r="52" spans="1:12" ht="15.75" customHeight="1">
      <c r="A52" s="1173"/>
      <c r="B52" s="1173"/>
      <c r="C52" s="1173"/>
      <c r="D52" s="1178"/>
      <c r="E52" s="1173"/>
      <c r="F52" s="1173"/>
      <c r="G52" s="1173"/>
      <c r="H52" s="1173"/>
      <c r="I52" s="1173"/>
      <c r="J52" s="1173"/>
      <c r="K52" s="1173"/>
      <c r="L52" s="1173"/>
    </row>
    <row r="53" spans="1:12" ht="15.75" customHeight="1">
      <c r="A53" s="1173"/>
      <c r="B53" s="1173"/>
      <c r="C53" s="1173"/>
      <c r="D53" s="1178"/>
      <c r="E53" s="1173"/>
      <c r="F53" s="1173"/>
      <c r="G53" s="1173"/>
      <c r="H53" s="1173"/>
      <c r="I53" s="1173"/>
      <c r="J53" s="1173"/>
      <c r="K53" s="1173"/>
      <c r="L53" s="1173"/>
    </row>
    <row r="54" spans="1:12" ht="15.75" customHeight="1">
      <c r="A54" s="1173"/>
      <c r="B54" s="1173"/>
      <c r="C54" s="1173"/>
      <c r="D54" s="1178"/>
      <c r="E54" s="1173"/>
      <c r="F54" s="1173"/>
      <c r="G54" s="1173"/>
      <c r="H54" s="1173"/>
      <c r="I54" s="1173"/>
      <c r="J54" s="1173"/>
      <c r="K54" s="1173"/>
      <c r="L54" s="1173"/>
    </row>
    <row r="55" spans="1:12" ht="15.75" customHeight="1">
      <c r="A55" s="1173"/>
      <c r="B55" s="1173"/>
      <c r="C55" s="1173"/>
      <c r="D55" s="1178"/>
      <c r="E55" s="1173"/>
      <c r="F55" s="1173"/>
      <c r="G55" s="1173"/>
      <c r="H55" s="1173"/>
      <c r="I55" s="1173"/>
      <c r="J55" s="1173"/>
      <c r="K55" s="1173"/>
      <c r="L55" s="1173"/>
    </row>
    <row r="56" spans="1:12" ht="15.75" customHeight="1">
      <c r="A56" s="1173"/>
      <c r="B56" s="1173"/>
      <c r="C56" s="1173"/>
      <c r="D56" s="1178"/>
      <c r="E56" s="1173"/>
      <c r="F56" s="1173"/>
      <c r="G56" s="1173"/>
      <c r="H56" s="1173"/>
      <c r="I56" s="1173"/>
      <c r="J56" s="1173"/>
      <c r="K56" s="1173"/>
      <c r="L56" s="1173"/>
    </row>
    <row r="57" spans="1:12" ht="15.75" customHeight="1">
      <c r="A57" s="1173"/>
      <c r="B57" s="1173"/>
      <c r="C57" s="1173"/>
      <c r="D57" s="1178"/>
      <c r="E57" s="1173"/>
      <c r="F57" s="1173"/>
      <c r="G57" s="1173"/>
      <c r="H57" s="1173"/>
      <c r="I57" s="1173"/>
      <c r="J57" s="1173"/>
      <c r="K57" s="1173"/>
      <c r="L57" s="1173"/>
    </row>
    <row r="58" spans="1:12" ht="15.75" customHeight="1">
      <c r="A58" s="1173"/>
      <c r="B58" s="1173"/>
      <c r="C58" s="1173"/>
      <c r="D58" s="1178"/>
      <c r="E58" s="1173"/>
      <c r="F58" s="1173"/>
      <c r="G58" s="1173"/>
      <c r="H58" s="1173"/>
      <c r="I58" s="1173"/>
      <c r="J58" s="1173"/>
      <c r="K58" s="1173"/>
      <c r="L58" s="1173"/>
    </row>
    <row r="59" spans="1:12" ht="15.75" customHeight="1">
      <c r="A59" s="1173"/>
      <c r="B59" s="1173"/>
      <c r="C59" s="1173"/>
      <c r="D59" s="1178"/>
      <c r="E59" s="1173"/>
      <c r="F59" s="1173"/>
      <c r="G59" s="1173"/>
      <c r="H59" s="1173"/>
      <c r="I59" s="1173"/>
      <c r="J59" s="1173"/>
      <c r="K59" s="1173"/>
      <c r="L59" s="1173"/>
    </row>
    <row r="60" spans="1:12" ht="15.75" customHeight="1">
      <c r="A60" s="1173"/>
      <c r="B60" s="1173"/>
      <c r="C60" s="1173"/>
      <c r="D60" s="1178"/>
      <c r="E60" s="1173"/>
      <c r="F60" s="1173"/>
      <c r="G60" s="1173"/>
      <c r="H60" s="1173"/>
      <c r="I60" s="1173"/>
      <c r="J60" s="1173"/>
      <c r="K60" s="1173"/>
      <c r="L60" s="1173"/>
    </row>
    <row r="61" spans="1:12" ht="15.75" customHeight="1">
      <c r="A61" s="1173"/>
      <c r="B61" s="1173"/>
      <c r="C61" s="1173"/>
      <c r="D61" s="1178"/>
      <c r="E61" s="1173"/>
      <c r="F61" s="1173"/>
      <c r="G61" s="1173"/>
      <c r="H61" s="1173"/>
      <c r="I61" s="1173"/>
      <c r="J61" s="1173"/>
      <c r="K61" s="1173"/>
      <c r="L61" s="1173"/>
    </row>
    <row r="62" spans="1:12" ht="15.75" customHeight="1">
      <c r="A62" s="1173"/>
      <c r="B62" s="1173"/>
      <c r="C62" s="1173"/>
      <c r="D62" s="1178"/>
      <c r="E62" s="1173"/>
      <c r="F62" s="1173"/>
      <c r="G62" s="1173"/>
      <c r="H62" s="1173"/>
      <c r="I62" s="1173"/>
      <c r="J62" s="1173"/>
      <c r="K62" s="1173"/>
      <c r="L62" s="1173"/>
    </row>
    <row r="63" spans="1:12" ht="15.75" customHeight="1">
      <c r="A63" s="1173"/>
      <c r="B63" s="1173"/>
      <c r="C63" s="1173"/>
      <c r="D63" s="1178"/>
      <c r="E63" s="1173"/>
      <c r="F63" s="1173"/>
      <c r="G63" s="1173"/>
      <c r="H63" s="1173"/>
      <c r="I63" s="1173"/>
      <c r="J63" s="1173"/>
      <c r="K63" s="1173"/>
      <c r="L63" s="1173"/>
    </row>
    <row r="64" spans="1:12" ht="15.75" customHeight="1">
      <c r="A64" s="1173"/>
      <c r="B64" s="1173"/>
      <c r="C64" s="1173"/>
      <c r="D64" s="1178"/>
      <c r="E64" s="1173"/>
      <c r="F64" s="1173"/>
      <c r="G64" s="1173"/>
      <c r="H64" s="1173"/>
      <c r="I64" s="1173"/>
      <c r="J64" s="1173"/>
      <c r="K64" s="1173"/>
      <c r="L64" s="1173"/>
    </row>
    <row r="65" spans="1:12" ht="15.75" customHeight="1">
      <c r="A65" s="1173"/>
      <c r="B65" s="1173"/>
      <c r="C65" s="1173"/>
      <c r="D65" s="1178"/>
      <c r="E65" s="1173"/>
      <c r="F65" s="1173"/>
      <c r="G65" s="1173"/>
      <c r="H65" s="1173"/>
      <c r="I65" s="1173"/>
      <c r="J65" s="1173"/>
      <c r="K65" s="1173"/>
      <c r="L65" s="1173"/>
    </row>
    <row r="66" spans="1:12" ht="15.75" customHeight="1">
      <c r="A66" s="1173"/>
      <c r="B66" s="1173"/>
      <c r="C66" s="1173"/>
      <c r="D66" s="1178"/>
      <c r="E66" s="1173"/>
      <c r="F66" s="1173"/>
      <c r="G66" s="1173"/>
      <c r="H66" s="1173"/>
      <c r="I66" s="1173"/>
      <c r="J66" s="1173"/>
      <c r="K66" s="1173"/>
      <c r="L66" s="1173"/>
    </row>
    <row r="67" spans="1:12" ht="15.75" customHeight="1">
      <c r="A67" s="1173"/>
      <c r="B67" s="1173"/>
      <c r="C67" s="1173"/>
      <c r="D67" s="1178"/>
      <c r="E67" s="1173"/>
      <c r="F67" s="1173"/>
      <c r="G67" s="1173"/>
      <c r="H67" s="1173"/>
      <c r="I67" s="1173"/>
      <c r="J67" s="1173"/>
      <c r="K67" s="1173"/>
      <c r="L67" s="1173"/>
    </row>
    <row r="68" spans="1:12" ht="15.75" customHeight="1">
      <c r="A68" s="1173"/>
      <c r="B68" s="1173"/>
      <c r="C68" s="1173"/>
      <c r="D68" s="1178"/>
      <c r="E68" s="1173"/>
      <c r="F68" s="1173"/>
      <c r="G68" s="1173"/>
      <c r="H68" s="1173"/>
      <c r="I68" s="1173"/>
      <c r="J68" s="1173"/>
      <c r="K68" s="1173"/>
      <c r="L68" s="1173"/>
    </row>
    <row r="69" spans="1:12" ht="15.75" customHeight="1">
      <c r="A69" s="1173"/>
      <c r="B69" s="1173"/>
      <c r="C69" s="1173"/>
      <c r="D69" s="1178"/>
      <c r="E69" s="1173"/>
      <c r="F69" s="1173"/>
      <c r="G69" s="1173"/>
      <c r="H69" s="1173"/>
      <c r="I69" s="1173"/>
      <c r="J69" s="1173"/>
      <c r="K69" s="1173"/>
      <c r="L69" s="1173"/>
    </row>
    <row r="70" spans="1:12" ht="15.75" customHeight="1">
      <c r="A70" s="1173"/>
      <c r="B70" s="1173"/>
      <c r="C70" s="1173"/>
      <c r="D70" s="1178"/>
      <c r="E70" s="1173"/>
      <c r="F70" s="1173"/>
      <c r="G70" s="1173"/>
      <c r="H70" s="1173"/>
      <c r="I70" s="1173"/>
      <c r="J70" s="1173"/>
      <c r="K70" s="1173"/>
      <c r="L70" s="1173"/>
    </row>
    <row r="71" spans="1:12" ht="15.75" customHeight="1">
      <c r="A71" s="1173"/>
      <c r="B71" s="1173"/>
      <c r="C71" s="1173"/>
      <c r="D71" s="1178"/>
      <c r="E71" s="1173"/>
      <c r="F71" s="1173"/>
      <c r="G71" s="1173"/>
      <c r="H71" s="1173"/>
      <c r="I71" s="1173"/>
      <c r="J71" s="1173"/>
      <c r="K71" s="1173"/>
      <c r="L71" s="1173"/>
    </row>
    <row r="72" spans="1:12" ht="15.75" customHeight="1">
      <c r="A72" s="1173"/>
      <c r="B72" s="1173"/>
      <c r="C72" s="1173"/>
      <c r="D72" s="1178"/>
      <c r="E72" s="1173"/>
      <c r="F72" s="1173"/>
      <c r="G72" s="1173"/>
      <c r="H72" s="1173"/>
      <c r="I72" s="1173"/>
      <c r="J72" s="1173"/>
      <c r="K72" s="1173"/>
      <c r="L72" s="1173"/>
    </row>
    <row r="73" spans="1:12" ht="15.75" customHeight="1">
      <c r="A73" s="1173"/>
      <c r="B73" s="1173"/>
      <c r="C73" s="1173"/>
      <c r="D73" s="1178"/>
      <c r="E73" s="1173"/>
      <c r="F73" s="1173"/>
      <c r="G73" s="1173"/>
      <c r="H73" s="1173"/>
      <c r="I73" s="1173"/>
      <c r="J73" s="1173"/>
      <c r="K73" s="1173"/>
      <c r="L73" s="1173"/>
    </row>
    <row r="74" spans="1:12" ht="15.75" customHeight="1">
      <c r="A74" s="1173"/>
      <c r="B74" s="1173"/>
      <c r="C74" s="1173"/>
      <c r="D74" s="1178"/>
      <c r="E74" s="1173"/>
      <c r="F74" s="1173"/>
      <c r="G74" s="1173"/>
      <c r="H74" s="1173"/>
      <c r="I74" s="1173"/>
      <c r="J74" s="1173"/>
      <c r="K74" s="1173"/>
      <c r="L74" s="1173"/>
    </row>
    <row r="75" spans="1:12" ht="15.75" customHeight="1">
      <c r="A75" s="1173"/>
      <c r="B75" s="1173"/>
      <c r="C75" s="1173"/>
      <c r="D75" s="1178"/>
      <c r="E75" s="1173"/>
      <c r="F75" s="1173"/>
      <c r="G75" s="1173"/>
      <c r="H75" s="1173"/>
      <c r="I75" s="1173"/>
      <c r="J75" s="1173"/>
      <c r="K75" s="1173"/>
      <c r="L75" s="1173"/>
    </row>
    <row r="76" spans="1:12" ht="15.75" customHeight="1">
      <c r="A76" s="1173"/>
      <c r="B76" s="1173"/>
      <c r="C76" s="1173"/>
      <c r="D76" s="1178"/>
      <c r="E76" s="1173"/>
      <c r="F76" s="1173"/>
      <c r="G76" s="1173"/>
      <c r="H76" s="1173"/>
      <c r="I76" s="1173"/>
      <c r="J76" s="1173"/>
      <c r="K76" s="1173"/>
      <c r="L76" s="1173"/>
    </row>
    <row r="77" spans="1:12" ht="15.75" customHeight="1">
      <c r="A77" s="1173"/>
      <c r="B77" s="1173"/>
      <c r="C77" s="1173"/>
      <c r="D77" s="1178"/>
      <c r="E77" s="1173"/>
      <c r="F77" s="1173"/>
      <c r="G77" s="1173"/>
      <c r="H77" s="1173"/>
      <c r="I77" s="1173"/>
      <c r="J77" s="1173"/>
      <c r="K77" s="1173"/>
      <c r="L77" s="1173"/>
    </row>
    <row r="78" spans="1:12" ht="15.75" customHeight="1">
      <c r="A78" s="1173"/>
      <c r="B78" s="1173"/>
      <c r="C78" s="1173"/>
      <c r="D78" s="1178"/>
      <c r="E78" s="1173"/>
      <c r="F78" s="1173"/>
      <c r="G78" s="1173"/>
      <c r="H78" s="1173"/>
      <c r="I78" s="1173"/>
      <c r="J78" s="1173"/>
      <c r="K78" s="1173"/>
      <c r="L78" s="1173"/>
    </row>
    <row r="79" spans="1:12" ht="15.75" customHeight="1">
      <c r="A79" s="1173"/>
      <c r="B79" s="1173"/>
      <c r="C79" s="1173"/>
      <c r="D79" s="1178"/>
      <c r="E79" s="1173"/>
      <c r="F79" s="1173"/>
      <c r="G79" s="1173"/>
      <c r="H79" s="1173"/>
      <c r="I79" s="1173"/>
      <c r="J79" s="1173"/>
      <c r="K79" s="1173"/>
      <c r="L79" s="1173"/>
    </row>
    <row r="80" spans="1:12" ht="15.75" customHeight="1">
      <c r="A80" s="1173"/>
      <c r="B80" s="1173"/>
      <c r="C80" s="1173"/>
      <c r="D80" s="1178"/>
      <c r="E80" s="1173"/>
      <c r="F80" s="1173"/>
      <c r="G80" s="1173"/>
      <c r="H80" s="1173"/>
      <c r="I80" s="1173"/>
      <c r="J80" s="1173"/>
      <c r="K80" s="1173"/>
      <c r="L80" s="1173"/>
    </row>
    <row r="81" spans="1:12" ht="15.75" customHeight="1">
      <c r="A81" s="1173"/>
      <c r="B81" s="1173"/>
      <c r="C81" s="1173"/>
      <c r="D81" s="1178"/>
      <c r="E81" s="1173"/>
      <c r="F81" s="1173"/>
      <c r="G81" s="1173"/>
      <c r="H81" s="1173"/>
      <c r="I81" s="1173"/>
      <c r="J81" s="1173"/>
      <c r="K81" s="1173"/>
      <c r="L81" s="1173"/>
    </row>
    <row r="82" spans="1:12" ht="15.75" customHeight="1">
      <c r="A82" s="1173"/>
      <c r="B82" s="1173"/>
      <c r="C82" s="1173"/>
      <c r="D82" s="1178"/>
      <c r="E82" s="1173"/>
      <c r="F82" s="1173"/>
      <c r="G82" s="1173"/>
      <c r="H82" s="1173"/>
      <c r="I82" s="1173"/>
      <c r="J82" s="1173"/>
      <c r="K82" s="1173"/>
      <c r="L82" s="1173"/>
    </row>
    <row r="83" spans="1:12" ht="15.75" customHeight="1">
      <c r="A83" s="1173"/>
      <c r="B83" s="1173"/>
      <c r="C83" s="1173"/>
      <c r="D83" s="1178"/>
      <c r="E83" s="1173"/>
      <c r="F83" s="1173"/>
      <c r="G83" s="1173"/>
      <c r="H83" s="1173"/>
      <c r="I83" s="1173"/>
      <c r="J83" s="1173"/>
      <c r="K83" s="1173"/>
      <c r="L83" s="1173"/>
    </row>
    <row r="84" spans="1:12" ht="15.75" customHeight="1">
      <c r="A84" s="1173"/>
      <c r="B84" s="1173"/>
      <c r="C84" s="1173"/>
      <c r="D84" s="1178"/>
      <c r="E84" s="1173"/>
      <c r="F84" s="1173"/>
      <c r="G84" s="1173"/>
      <c r="H84" s="1173"/>
      <c r="I84" s="1173"/>
      <c r="J84" s="1173"/>
      <c r="K84" s="1173"/>
      <c r="L84" s="1173"/>
    </row>
    <row r="85" spans="1:12" ht="15.75" customHeight="1">
      <c r="A85" s="1173"/>
      <c r="B85" s="1173"/>
      <c r="C85" s="1173"/>
      <c r="D85" s="1178"/>
      <c r="E85" s="1173"/>
      <c r="F85" s="1173"/>
      <c r="G85" s="1173"/>
      <c r="H85" s="1173"/>
      <c r="I85" s="1173"/>
      <c r="J85" s="1173"/>
      <c r="K85" s="1173"/>
      <c r="L85" s="1173"/>
    </row>
    <row r="86" spans="1:12" ht="15.75" customHeight="1">
      <c r="A86" s="1173"/>
      <c r="B86" s="1173"/>
      <c r="C86" s="1173"/>
      <c r="D86" s="1178"/>
      <c r="E86" s="1173"/>
      <c r="F86" s="1173"/>
      <c r="G86" s="1173"/>
      <c r="H86" s="1173"/>
      <c r="I86" s="1173"/>
      <c r="J86" s="1173"/>
      <c r="K86" s="1173"/>
      <c r="L86" s="1173"/>
    </row>
    <row r="87" spans="1:12" ht="15.75" customHeight="1">
      <c r="A87" s="1173"/>
      <c r="B87" s="1173"/>
      <c r="C87" s="1173"/>
      <c r="D87" s="1178"/>
      <c r="E87" s="1173"/>
      <c r="F87" s="1173"/>
      <c r="G87" s="1173"/>
      <c r="H87" s="1173"/>
      <c r="I87" s="1173"/>
      <c r="J87" s="1173"/>
      <c r="K87" s="1173"/>
      <c r="L87" s="1173"/>
    </row>
    <row r="88" spans="1:12" ht="15.75" customHeight="1">
      <c r="A88" s="1173"/>
      <c r="B88" s="1173"/>
      <c r="C88" s="1173"/>
      <c r="D88" s="1178"/>
      <c r="E88" s="1173"/>
      <c r="F88" s="1173"/>
      <c r="G88" s="1173"/>
      <c r="H88" s="1173"/>
      <c r="I88" s="1173"/>
      <c r="J88" s="1173"/>
      <c r="K88" s="1173"/>
      <c r="L88" s="1173"/>
    </row>
    <row r="89" spans="1:12" ht="15.75" customHeight="1">
      <c r="A89" s="1173"/>
      <c r="B89" s="1173"/>
      <c r="C89" s="1173"/>
      <c r="D89" s="1178"/>
      <c r="E89" s="1173"/>
      <c r="F89" s="1173"/>
      <c r="G89" s="1173"/>
      <c r="H89" s="1173"/>
      <c r="I89" s="1173"/>
      <c r="J89" s="1173"/>
      <c r="K89" s="1173"/>
      <c r="L89" s="1173"/>
    </row>
    <row r="90" spans="1:12" ht="15.75" customHeight="1">
      <c r="A90" s="1173"/>
      <c r="B90" s="1173"/>
      <c r="C90" s="1173"/>
      <c r="D90" s="1178"/>
      <c r="E90" s="1173"/>
      <c r="F90" s="1173"/>
      <c r="G90" s="1173"/>
      <c r="H90" s="1173"/>
      <c r="I90" s="1173"/>
      <c r="J90" s="1173"/>
      <c r="K90" s="1173"/>
      <c r="L90" s="1173"/>
    </row>
    <row r="91" spans="1:12" ht="15.75" customHeight="1">
      <c r="A91" s="1173"/>
      <c r="B91" s="1173"/>
      <c r="C91" s="1173"/>
      <c r="D91" s="1178"/>
      <c r="E91" s="1173"/>
      <c r="F91" s="1173"/>
      <c r="G91" s="1173"/>
      <c r="H91" s="1173"/>
      <c r="I91" s="1173"/>
      <c r="J91" s="1173"/>
      <c r="K91" s="1173"/>
      <c r="L91" s="1173"/>
    </row>
    <row r="92" spans="1:12" ht="15.75" customHeight="1">
      <c r="A92" s="1173"/>
      <c r="B92" s="1173"/>
      <c r="C92" s="1173"/>
      <c r="D92" s="1178"/>
      <c r="E92" s="1173"/>
      <c r="F92" s="1173"/>
      <c r="G92" s="1173"/>
      <c r="H92" s="1173"/>
      <c r="I92" s="1173"/>
      <c r="J92" s="1173"/>
      <c r="K92" s="1173"/>
      <c r="L92" s="1173"/>
    </row>
    <row r="93" spans="1:12" ht="15.75" customHeight="1">
      <c r="A93" s="1173"/>
      <c r="B93" s="1173"/>
      <c r="C93" s="1173"/>
      <c r="D93" s="1178"/>
      <c r="E93" s="1173"/>
      <c r="F93" s="1173"/>
      <c r="G93" s="1173"/>
      <c r="H93" s="1173"/>
      <c r="I93" s="1173"/>
      <c r="J93" s="1173"/>
      <c r="K93" s="1173"/>
      <c r="L93" s="1173"/>
    </row>
    <row r="94" spans="1:12" ht="15.75" customHeight="1">
      <c r="A94" s="1173"/>
      <c r="B94" s="1173"/>
      <c r="C94" s="1173"/>
      <c r="D94" s="1178"/>
      <c r="E94" s="1173"/>
      <c r="F94" s="1173"/>
      <c r="G94" s="1173"/>
      <c r="H94" s="1173"/>
      <c r="I94" s="1173"/>
      <c r="J94" s="1173"/>
      <c r="K94" s="1173"/>
      <c r="L94" s="1173"/>
    </row>
    <row r="95" spans="1:12" ht="15.75" customHeight="1">
      <c r="A95" s="1173"/>
      <c r="B95" s="1173"/>
      <c r="C95" s="1173"/>
      <c r="D95" s="1178"/>
      <c r="E95" s="1173"/>
      <c r="F95" s="1173"/>
      <c r="G95" s="1173"/>
      <c r="H95" s="1173"/>
      <c r="I95" s="1173"/>
      <c r="J95" s="1173"/>
      <c r="K95" s="1173"/>
      <c r="L95" s="1173"/>
    </row>
    <row r="96" spans="1:12" ht="15.75" customHeight="1">
      <c r="A96" s="1173"/>
      <c r="B96" s="1173"/>
      <c r="C96" s="1173"/>
      <c r="D96" s="1178"/>
      <c r="E96" s="1173"/>
      <c r="F96" s="1173"/>
      <c r="G96" s="1173"/>
      <c r="H96" s="1173"/>
      <c r="I96" s="1173"/>
      <c r="J96" s="1173"/>
      <c r="K96" s="1173"/>
      <c r="L96" s="1173"/>
    </row>
    <row r="97" spans="1:12" ht="15.75" customHeight="1">
      <c r="A97" s="1173"/>
      <c r="B97" s="1173"/>
      <c r="C97" s="1173"/>
      <c r="D97" s="1178"/>
      <c r="E97" s="1173"/>
      <c r="F97" s="1173"/>
      <c r="G97" s="1173"/>
      <c r="H97" s="1173"/>
      <c r="I97" s="1173"/>
      <c r="J97" s="1173"/>
      <c r="K97" s="1173"/>
      <c r="L97" s="1173"/>
    </row>
    <row r="98" spans="1:12" ht="15.75" customHeight="1">
      <c r="A98" s="1173"/>
      <c r="B98" s="1173"/>
      <c r="C98" s="1173"/>
      <c r="D98" s="1178"/>
      <c r="E98" s="1173"/>
      <c r="F98" s="1173"/>
      <c r="G98" s="1173"/>
      <c r="H98" s="1173"/>
      <c r="I98" s="1173"/>
      <c r="J98" s="1173"/>
      <c r="K98" s="1173"/>
      <c r="L98" s="1173"/>
    </row>
    <row r="99" spans="1:12" ht="15.75" customHeight="1">
      <c r="A99" s="1173"/>
      <c r="B99" s="1173"/>
      <c r="C99" s="1173"/>
      <c r="D99" s="1178"/>
      <c r="E99" s="1173"/>
      <c r="F99" s="1173"/>
      <c r="G99" s="1173"/>
      <c r="H99" s="1173"/>
      <c r="I99" s="1173"/>
      <c r="J99" s="1173"/>
      <c r="K99" s="1173"/>
      <c r="L99" s="1173"/>
    </row>
    <row r="100" spans="1:12" ht="15.75" customHeight="1">
      <c r="A100" s="1173"/>
      <c r="B100" s="1173"/>
      <c r="C100" s="1173"/>
      <c r="D100" s="1178"/>
      <c r="E100" s="1173"/>
      <c r="F100" s="1173"/>
      <c r="G100" s="1173"/>
      <c r="H100" s="1173"/>
      <c r="I100" s="1173"/>
      <c r="J100" s="1173"/>
      <c r="K100" s="1173"/>
      <c r="L100" s="1173"/>
    </row>
  </sheetData>
  <mergeCells count="24">
    <mergeCell ref="A1:H1"/>
    <mergeCell ref="A2:H2"/>
    <mergeCell ref="B3:C3"/>
    <mergeCell ref="E3:H3"/>
    <mergeCell ref="B4:C4"/>
    <mergeCell ref="F4:H4"/>
    <mergeCell ref="F5:H5"/>
    <mergeCell ref="F6:H6"/>
    <mergeCell ref="B7:C7"/>
    <mergeCell ref="E7:H7"/>
    <mergeCell ref="B8:C8"/>
    <mergeCell ref="E8:F8"/>
    <mergeCell ref="B18:H18"/>
    <mergeCell ref="B9:C9"/>
    <mergeCell ref="E9:H9"/>
    <mergeCell ref="B10:C10"/>
    <mergeCell ref="E10:H10"/>
    <mergeCell ref="C11:H11"/>
    <mergeCell ref="C12:H12"/>
    <mergeCell ref="C13:H13"/>
    <mergeCell ref="C14:H14"/>
    <mergeCell ref="C15:H15"/>
    <mergeCell ref="C16:H16"/>
    <mergeCell ref="C17:H17"/>
  </mergeCells>
  <pageMargins left="0.7" right="0.7" top="0.75" bottom="0.75" header="0.3" footer="0.3"/>
  <pageSetup scale="97" orientation="portrait" r:id="rId1"/>
  <drawing r:id="rId2"/>
</worksheet>
</file>

<file path=xl/worksheets/sheet8.xml><?xml version="1.0" encoding="utf-8"?>
<worksheet xmlns="http://schemas.openxmlformats.org/spreadsheetml/2006/main" xmlns:r="http://schemas.openxmlformats.org/officeDocument/2006/relationships">
  <dimension ref="A1:I41"/>
  <sheetViews>
    <sheetView view="pageBreakPreview" topLeftCell="A13" zoomScale="70" zoomScaleSheetLayoutView="70" workbookViewId="0">
      <selection activeCell="B11" sqref="B11:F11"/>
    </sheetView>
  </sheetViews>
  <sheetFormatPr defaultColWidth="10.140625" defaultRowHeight="16.5"/>
  <cols>
    <col min="1" max="1" width="5.85546875" style="41" customWidth="1"/>
    <col min="2" max="2" width="30.7109375" style="41" customWidth="1"/>
    <col min="3" max="3" width="24.42578125" style="66" customWidth="1"/>
    <col min="4" max="4" width="27.85546875" style="41" customWidth="1"/>
    <col min="5" max="5" width="19.5703125" style="66" customWidth="1"/>
    <col min="6" max="6" width="15.5703125" style="66" customWidth="1"/>
    <col min="7" max="7" width="4.85546875" style="41" customWidth="1"/>
    <col min="8" max="16384" width="10.140625" style="41"/>
  </cols>
  <sheetData>
    <row r="1" spans="1:9" ht="30.75" customHeight="1">
      <c r="A1" s="1491" t="s">
        <v>268</v>
      </c>
      <c r="B1" s="1492"/>
      <c r="C1" s="1492"/>
      <c r="D1" s="1492"/>
      <c r="E1" s="1492"/>
      <c r="F1" s="1493"/>
      <c r="G1" s="40"/>
    </row>
    <row r="2" spans="1:9" ht="119.25" customHeight="1">
      <c r="A2" s="975"/>
      <c r="B2" s="1075" t="s">
        <v>1261</v>
      </c>
      <c r="C2" s="1497" t="str">
        <f>'Final Estimate'!A2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D2" s="1498"/>
      <c r="E2" s="1498"/>
      <c r="F2" s="1499"/>
      <c r="G2" s="40"/>
    </row>
    <row r="3" spans="1:9" s="46" customFormat="1" ht="18">
      <c r="A3" s="976"/>
      <c r="B3" s="977" t="s">
        <v>1251</v>
      </c>
      <c r="C3" s="978"/>
      <c r="D3" s="978"/>
      <c r="E3" s="979" t="s">
        <v>30</v>
      </c>
      <c r="F3" s="980" t="s">
        <v>1252</v>
      </c>
      <c r="G3" s="49"/>
    </row>
    <row r="4" spans="1:9" s="50" customFormat="1">
      <c r="A4" s="981"/>
      <c r="B4" s="1494"/>
      <c r="C4" s="1495"/>
      <c r="D4" s="1495"/>
      <c r="E4" s="1495"/>
      <c r="F4" s="1496"/>
    </row>
    <row r="5" spans="1:9" s="46" customFormat="1" ht="51" customHeight="1">
      <c r="A5" s="1062"/>
      <c r="B5" s="1501" t="s">
        <v>1260</v>
      </c>
      <c r="C5" s="1501"/>
      <c r="D5" s="1501"/>
      <c r="E5" s="1501"/>
      <c r="F5" s="1501"/>
    </row>
    <row r="6" spans="1:9" s="1065" customFormat="1" ht="33.75" customHeight="1">
      <c r="A6" s="1063">
        <v>1</v>
      </c>
      <c r="B6" s="1501" t="str">
        <f>'Final Estimate'!B6:I6</f>
        <v xml:space="preserve">Cutting open C.C. road surface including stocking of of exccavated materials for pipe line , including labour charges and contractor profit charges </v>
      </c>
      <c r="C6" s="1501"/>
      <c r="D6" s="1501"/>
      <c r="E6" s="1501"/>
      <c r="F6" s="1501"/>
      <c r="G6" s="1064"/>
      <c r="I6" s="1065" t="s">
        <v>295</v>
      </c>
    </row>
    <row r="7" spans="1:9" s="1065" customFormat="1" ht="66.75" customHeight="1">
      <c r="A7" s="1063">
        <v>2</v>
      </c>
      <c r="B7" s="1502" t="str">
        <f>'Final Estimate'!B14:I14</f>
        <v xml:space="preserve">Earthwork in excavation for Pipe Line trench Cutting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including contractor profit </v>
      </c>
      <c r="C7" s="1502"/>
      <c r="D7" s="1502"/>
      <c r="E7" s="1502"/>
      <c r="F7" s="1502"/>
      <c r="G7" s="1066"/>
    </row>
    <row r="8" spans="1:9" s="1065" customFormat="1" ht="39.75" customHeight="1">
      <c r="A8" s="1067">
        <v>3</v>
      </c>
      <c r="B8" s="1502" t="str">
        <f>'Final Estimate'!B35:I35</f>
        <v>Earthwork in excavation in Hard rock (blasting prohibited) with rock breakersin hard rock including breaking rock, loading , in tippers and disposal with all lifts and lead up to 1000m as per technical specifications 302.3.5</v>
      </c>
      <c r="C8" s="1502"/>
      <c r="D8" s="1502"/>
      <c r="E8" s="1502"/>
      <c r="F8" s="1502"/>
      <c r="G8" s="1064"/>
    </row>
    <row r="9" spans="1:9" s="1069" customFormat="1" ht="80.25" customHeight="1">
      <c r="A9" s="1068">
        <v>4</v>
      </c>
      <c r="B9" s="1500" t="str">
        <f>'Final Estimate'!B40:I40</f>
        <v>MANUFACTURE, SUPPLY AND DELIVERY OF R.C.C. SOCKET AND SPIGOT PIPES CONFORMING TO B.I.S. 458/2003 AT EX-FACTORY (RATE PER METER OF EFFECTIVE LENGTH) EXCLUDING TRANSPORTATION, TAXES &amp; DUTIES. Of Non Pressure pipes  and Lowering the RCC S/S pipes carefully into the trenches laying them true to alignment and gradient, jointing with rubber rings and testing including filling with water with a water lead upto 500 meters including cost of rubber rings as per BIS No. 783/1985</v>
      </c>
      <c r="C9" s="1500"/>
      <c r="D9" s="1500"/>
      <c r="E9" s="1500"/>
      <c r="F9" s="1500"/>
      <c r="G9" s="1064"/>
    </row>
    <row r="10" spans="1:9" s="1069" customFormat="1" ht="49.5" customHeight="1">
      <c r="A10" s="1068">
        <v>5</v>
      </c>
      <c r="B10" s="1500" t="str">
        <f>'Final Estimate'!B44:I44</f>
        <v>Lowering the RCC S/S pipes carefully into the trenches laying them true to alignment and gradient, jointing with rubber rings and testing including filling with water with a water lead upto 500 meters including cost of rubber rings as per BIS No. 783/1985</v>
      </c>
      <c r="C10" s="1500"/>
      <c r="D10" s="1500"/>
      <c r="E10" s="1500"/>
      <c r="F10" s="1500"/>
      <c r="G10" s="1064"/>
    </row>
    <row r="11" spans="1:9" s="1069" customFormat="1" ht="81" customHeight="1">
      <c r="A11" s="1068">
        <f>A10+1</f>
        <v>6</v>
      </c>
      <c r="B11" s="1500" t="str">
        <f>'Final Estimate'!B46:I46</f>
        <v>Supply, Lowering, laying and jointing of 200mm dia SWG SP1 pipe in ready made trench true to alignment and gradient,jointing, and testing of stone ware pipes including cost of jointing material such as cement mortar (1:1) proportion and hemp yarn including cost and conveyance of pipe. (Reference to specifications BIS No.6530/72) PHE-LJSW-13 including loading and unloading, Contractor's profit and overhead charges complete for finished item and  as directed by the Engineer-in-charge.</v>
      </c>
      <c r="C11" s="1500"/>
      <c r="D11" s="1500"/>
      <c r="E11" s="1500"/>
      <c r="F11" s="1500"/>
      <c r="G11" s="1064"/>
    </row>
    <row r="12" spans="1:9" s="1069" customFormat="1" ht="98.25" customHeight="1">
      <c r="A12" s="1068">
        <v>7</v>
      </c>
      <c r="B12" s="1500" t="str">
        <f>'Final Estimate'!B49:I49</f>
        <v>Constructon  of  0.90 M   Circular Sewer Man hole of 0.90 mts x 0.55 m of 0.90 M  depth with Fly ash cement  sloid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12" s="1500"/>
      <c r="D12" s="1500"/>
      <c r="E12" s="1500"/>
      <c r="F12" s="1500"/>
      <c r="G12" s="1064"/>
    </row>
    <row r="13" spans="1:9" s="1069" customFormat="1" ht="82.5" customHeight="1">
      <c r="A13" s="1068">
        <v>8</v>
      </c>
      <c r="B13" s="1500" t="str">
        <f>'Final Estimate'!B53:I53</f>
        <v xml:space="preserve"> Additional manhole 0.10 M depth constructon  of 0.90 circular sewer man hole of 0.90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13" s="1500"/>
      <c r="D13" s="1500"/>
      <c r="E13" s="1500"/>
      <c r="F13" s="1500"/>
      <c r="G13" s="1064"/>
    </row>
    <row r="14" spans="1:9" s="1069" customFormat="1" ht="82.5" customHeight="1">
      <c r="A14" s="1068">
        <v>9</v>
      </c>
      <c r="B14" s="1500" t="str">
        <f>'Final Estimate'!B56:I56</f>
        <v>Constructon  of  1.20 M   Circular Sewer Man hole of 1.20 mts x 0.55 m of 1.65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14" s="1500"/>
      <c r="D14" s="1500"/>
      <c r="E14" s="1500"/>
      <c r="F14" s="1500"/>
      <c r="G14" s="1064"/>
    </row>
    <row r="15" spans="1:9" s="1069" customFormat="1" ht="82.5" customHeight="1">
      <c r="A15" s="1068">
        <v>10</v>
      </c>
      <c r="B15" s="1500" t="str">
        <f>'Final Estimate'!B60:I60</f>
        <v xml:space="preserve"> Additional manhole 0.10 M depth constructon  of 1.2 circular sewer man hole of 1.65-2.3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15" s="1500"/>
      <c r="D15" s="1500"/>
      <c r="E15" s="1500"/>
      <c r="F15" s="1500"/>
      <c r="G15" s="1064"/>
    </row>
    <row r="16" spans="1:9" s="1069" customFormat="1" ht="49.5" customHeight="1">
      <c r="A16" s="1068">
        <v>11</v>
      </c>
      <c r="B16" s="1500" t="str">
        <f>'Final Estimate'!B63:I63</f>
        <v>Manufacture as per BIS:12592 (Part 1&amp;2) Supply &amp; Delivery of manhole covers and frames with ISI marking anywhere in A.P., F.O.R. destination including, loading, un-loading &amp; stacking at site but excluding central excise duty, sales tax, octroi and other Govt levies etc., as applicable. I.S.I Mark</v>
      </c>
      <c r="C16" s="1500"/>
      <c r="D16" s="1500"/>
      <c r="E16" s="1500"/>
      <c r="F16" s="1500"/>
      <c r="G16" s="1064"/>
    </row>
    <row r="17" spans="1:7" s="1069" customFormat="1" ht="162" customHeight="1">
      <c r="A17" s="1068">
        <v>12</v>
      </c>
      <c r="B17" s="1500" t="str">
        <f>'Final Estimate'!B74:I74</f>
        <v>Construction of  dowel jointed un-reinforced, expansion and construction joint plain cement concrete pavement, thickness as per design, over a prepared sub base, with 43 grade cement or any other type as per Clause 1501.2.2 M30 (Grade), coarse and fine aggregates (Natural sand 50%+Manufactured sand(Rock Sand)50% )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v>
      </c>
      <c r="C17" s="1500"/>
      <c r="D17" s="1500"/>
      <c r="E17" s="1500"/>
      <c r="F17" s="1500"/>
      <c r="G17" s="1064"/>
    </row>
    <row r="18" spans="1:7" s="1069" customFormat="1" ht="18">
      <c r="A18" s="1068">
        <v>13</v>
      </c>
      <c r="B18" s="1500" t="str">
        <f>'Final Estimate'!B79</f>
        <v>Add 0.50% QC</v>
      </c>
      <c r="C18" s="1500"/>
      <c r="D18" s="1500"/>
      <c r="E18" s="1500"/>
      <c r="F18" s="1500"/>
      <c r="G18" s="1064"/>
    </row>
    <row r="19" spans="1:7" s="1069" customFormat="1" ht="18">
      <c r="A19" s="1068">
        <v>14</v>
      </c>
      <c r="B19" s="1500" t="str">
        <f>'Final Estimate'!B80</f>
        <v>Add 0.10% NAC</v>
      </c>
      <c r="C19" s="1500"/>
      <c r="D19" s="1500"/>
      <c r="E19" s="1500"/>
      <c r="F19" s="1500"/>
      <c r="G19" s="1064"/>
    </row>
    <row r="20" spans="1:7" s="1069" customFormat="1" ht="18">
      <c r="A20" s="1068">
        <v>15</v>
      </c>
      <c r="B20" s="1500" t="str">
        <f>'Final Estimate'!B81</f>
        <v>Add Seigniorage charges</v>
      </c>
      <c r="C20" s="1500"/>
      <c r="D20" s="1500"/>
      <c r="E20" s="1500"/>
      <c r="F20" s="1500"/>
      <c r="G20" s="1064"/>
    </row>
    <row r="21" spans="1:7" s="1069" customFormat="1" ht="18">
      <c r="A21" s="1068">
        <v>16</v>
      </c>
      <c r="B21" s="1500" t="str">
        <f>'Final Estimate'!B82</f>
        <v>Add 30% DMFon Seigniorage charges</v>
      </c>
      <c r="C21" s="1500"/>
      <c r="D21" s="1500"/>
      <c r="E21" s="1500"/>
      <c r="F21" s="1500"/>
      <c r="G21" s="1064"/>
    </row>
    <row r="22" spans="1:7" s="1069" customFormat="1" ht="18">
      <c r="A22" s="1068">
        <v>17</v>
      </c>
      <c r="B22" s="1500" t="str">
        <f>'Final Estimate'!B83</f>
        <v>Add 2% SMET on Seigniorage charges</v>
      </c>
      <c r="C22" s="1500"/>
      <c r="D22" s="1500"/>
      <c r="E22" s="1500"/>
      <c r="F22" s="1500"/>
      <c r="G22" s="1064"/>
    </row>
    <row r="23" spans="1:7" s="1069" customFormat="1" ht="18">
      <c r="A23" s="1068">
        <v>18</v>
      </c>
      <c r="B23" s="1500" t="str">
        <f>'Final Estimate'!B84</f>
        <v>Add Permit Fee</v>
      </c>
      <c r="C23" s="1500"/>
      <c r="D23" s="1500"/>
      <c r="E23" s="1500"/>
      <c r="F23" s="1500"/>
      <c r="G23" s="1064"/>
    </row>
    <row r="24" spans="1:7" s="1069" customFormat="1" ht="18">
      <c r="A24" s="1068">
        <v>19</v>
      </c>
      <c r="B24" s="1500" t="str">
        <f>'Final Estimate'!B86:H86</f>
        <v>Add 18% GST</v>
      </c>
      <c r="C24" s="1500"/>
      <c r="D24" s="1500"/>
      <c r="E24" s="1500"/>
      <c r="F24" s="1500"/>
      <c r="G24" s="1064"/>
    </row>
    <row r="25" spans="1:7" s="49" customFormat="1" ht="18">
      <c r="A25" s="1070"/>
      <c r="B25" s="1071"/>
      <c r="C25" s="1070"/>
      <c r="D25" s="979"/>
      <c r="E25" s="979"/>
      <c r="F25" s="1072"/>
    </row>
    <row r="26" spans="1:7" s="1074" customFormat="1" ht="18">
      <c r="A26" s="1073"/>
      <c r="B26" s="1504" t="s">
        <v>1253</v>
      </c>
      <c r="C26" s="1504"/>
      <c r="D26" s="1504"/>
      <c r="E26" s="1504"/>
      <c r="F26" s="1504"/>
    </row>
    <row r="27" spans="1:7" s="50" customFormat="1"/>
    <row r="28" spans="1:7" s="50" customFormat="1"/>
    <row r="29" spans="1:7" s="50" customFormat="1"/>
    <row r="30" spans="1:7" s="60" customFormat="1">
      <c r="B30" s="65" t="str">
        <f>[38]Lead!$B$32</f>
        <v>Asst., Engineer</v>
      </c>
      <c r="D30" s="62" t="str">
        <f>[38]Lead!K32</f>
        <v>Dy .Executive.Engineer</v>
      </c>
      <c r="E30" s="62" t="s">
        <v>1254</v>
      </c>
      <c r="F30" s="62"/>
      <c r="G30" s="70"/>
    </row>
    <row r="31" spans="1:7" s="60" customFormat="1">
      <c r="B31" s="65" t="str">
        <f>[38]Lead!$B$33</f>
        <v>PR SD Amangal</v>
      </c>
      <c r="D31" s="62" t="str">
        <f>[38]Lead!$K$33</f>
        <v>PR SD  Amangal</v>
      </c>
      <c r="E31" s="62" t="s">
        <v>1255</v>
      </c>
      <c r="F31" s="62"/>
      <c r="G31" s="70"/>
    </row>
    <row r="32" spans="1:7" s="60" customFormat="1">
      <c r="C32" s="65"/>
      <c r="E32" s="65"/>
      <c r="F32" s="65"/>
      <c r="G32" s="61"/>
    </row>
    <row r="35" spans="1:7">
      <c r="B35" s="66"/>
    </row>
    <row r="36" spans="1:7">
      <c r="B36" s="66"/>
    </row>
    <row r="39" spans="1:7" s="56" customFormat="1" ht="30.75" customHeight="1">
      <c r="A39" s="67"/>
      <c r="B39" s="1503"/>
      <c r="C39" s="1503"/>
      <c r="D39" s="1503"/>
      <c r="E39" s="1503"/>
      <c r="F39" s="1503"/>
      <c r="G39" s="54"/>
    </row>
    <row r="40" spans="1:7" s="56" customFormat="1" ht="61.5" customHeight="1">
      <c r="A40" s="67"/>
      <c r="B40" s="1503"/>
      <c r="C40" s="1503"/>
      <c r="D40" s="1503"/>
      <c r="E40" s="1503"/>
      <c r="F40" s="1503"/>
      <c r="G40" s="54"/>
    </row>
    <row r="41" spans="1:7" s="56" customFormat="1" ht="30.75" customHeight="1">
      <c r="A41" s="67"/>
      <c r="B41" s="1503"/>
      <c r="C41" s="1503"/>
      <c r="D41" s="1503"/>
      <c r="E41" s="1503"/>
      <c r="F41" s="1503"/>
      <c r="G41" s="54"/>
    </row>
  </sheetData>
  <mergeCells count="27">
    <mergeCell ref="B41:F41"/>
    <mergeCell ref="B13:F13"/>
    <mergeCell ref="B16:F16"/>
    <mergeCell ref="B17:F17"/>
    <mergeCell ref="B18:F18"/>
    <mergeCell ref="B19:F19"/>
    <mergeCell ref="B24:F24"/>
    <mergeCell ref="B26:F26"/>
    <mergeCell ref="B39:F39"/>
    <mergeCell ref="B40:F40"/>
    <mergeCell ref="B20:F20"/>
    <mergeCell ref="B21:F21"/>
    <mergeCell ref="B22:F22"/>
    <mergeCell ref="B23:F23"/>
    <mergeCell ref="A1:F1"/>
    <mergeCell ref="B4:F4"/>
    <mergeCell ref="C2:F2"/>
    <mergeCell ref="B14:F14"/>
    <mergeCell ref="B15:F15"/>
    <mergeCell ref="B11:F11"/>
    <mergeCell ref="B12:F12"/>
    <mergeCell ref="B5:F5"/>
    <mergeCell ref="B6:F6"/>
    <mergeCell ref="B7:F7"/>
    <mergeCell ref="B8:F8"/>
    <mergeCell ref="B9:F9"/>
    <mergeCell ref="B10:F10"/>
  </mergeCells>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dimension ref="A1:AV40"/>
  <sheetViews>
    <sheetView view="pageBreakPreview" zoomScale="85" zoomScaleNormal="70" zoomScaleSheetLayoutView="85" workbookViewId="0">
      <selection sqref="A1:XFD1048576"/>
    </sheetView>
  </sheetViews>
  <sheetFormatPr defaultColWidth="2.5703125" defaultRowHeight="12.75"/>
  <sheetData>
    <row r="1" spans="1:48">
      <c r="A1" s="1511" t="s">
        <v>1300</v>
      </c>
      <c r="B1" s="1512"/>
      <c r="C1" s="1512"/>
      <c r="D1" s="1512"/>
      <c r="E1" s="1512"/>
      <c r="F1" s="1512"/>
      <c r="G1" s="1512"/>
      <c r="H1" s="1512"/>
      <c r="I1" s="1512"/>
      <c r="J1" s="1512"/>
      <c r="K1" s="1512"/>
      <c r="L1" s="1512"/>
      <c r="M1" s="1512"/>
      <c r="N1" s="1512"/>
      <c r="O1" s="1512"/>
      <c r="P1" s="1512"/>
      <c r="Q1" s="1512"/>
      <c r="R1" s="1512"/>
      <c r="S1" s="1512"/>
      <c r="T1" s="1512"/>
      <c r="U1" s="1512"/>
      <c r="V1" s="1512"/>
      <c r="W1" s="1512"/>
      <c r="X1" s="1512"/>
      <c r="Y1" s="1512"/>
      <c r="Z1" s="1512"/>
      <c r="AA1" s="1512"/>
      <c r="AB1" s="1512"/>
      <c r="AC1" s="1512"/>
      <c r="AD1" s="1512"/>
      <c r="AE1" s="1512"/>
      <c r="AF1" s="1512"/>
      <c r="AG1" s="1512"/>
      <c r="AH1" s="1512"/>
      <c r="AI1" s="1512"/>
      <c r="AJ1" s="1512"/>
      <c r="AK1" s="1512"/>
      <c r="AL1" s="1512"/>
      <c r="AM1" s="1512"/>
      <c r="AN1" s="1512"/>
      <c r="AO1" s="1512"/>
      <c r="AP1" s="1512"/>
      <c r="AQ1" s="1512"/>
      <c r="AR1" s="1512"/>
      <c r="AS1" s="1512"/>
      <c r="AT1" s="1512"/>
      <c r="AU1" s="1512"/>
      <c r="AV1" s="1513"/>
    </row>
    <row r="2" spans="1:48">
      <c r="A2" s="1514"/>
      <c r="B2" s="1515"/>
      <c r="C2" s="1515"/>
      <c r="D2" s="1515"/>
      <c r="E2" s="1515"/>
      <c r="F2" s="1515"/>
      <c r="G2" s="1515"/>
      <c r="H2" s="1515"/>
      <c r="I2" s="1515"/>
      <c r="J2" s="1515"/>
      <c r="K2" s="1515"/>
      <c r="L2" s="1515"/>
      <c r="M2" s="1515"/>
      <c r="N2" s="1515"/>
      <c r="O2" s="1515"/>
      <c r="P2" s="1515"/>
      <c r="Q2" s="1515"/>
      <c r="R2" s="1515"/>
      <c r="S2" s="1515"/>
      <c r="T2" s="1515"/>
      <c r="U2" s="1515"/>
      <c r="V2" s="1515"/>
      <c r="W2" s="1515"/>
      <c r="X2" s="1515"/>
      <c r="Y2" s="1515"/>
      <c r="Z2" s="1515"/>
      <c r="AA2" s="1515"/>
      <c r="AB2" s="1515"/>
      <c r="AC2" s="1515"/>
      <c r="AD2" s="1515"/>
      <c r="AE2" s="1515"/>
      <c r="AF2" s="1515"/>
      <c r="AG2" s="1515"/>
      <c r="AH2" s="1515"/>
      <c r="AI2" s="1515"/>
      <c r="AJ2" s="1515"/>
      <c r="AK2" s="1515"/>
      <c r="AL2" s="1515"/>
      <c r="AM2" s="1515"/>
      <c r="AN2" s="1515"/>
      <c r="AO2" s="1515"/>
      <c r="AP2" s="1515"/>
      <c r="AQ2" s="1515"/>
      <c r="AR2" s="1515"/>
      <c r="AS2" s="1515"/>
      <c r="AT2" s="1515"/>
      <c r="AU2" s="1515"/>
      <c r="AV2" s="1516"/>
    </row>
    <row r="3" spans="1:48">
      <c r="A3" s="1514"/>
      <c r="B3" s="1515"/>
      <c r="C3" s="1515"/>
      <c r="D3" s="1515"/>
      <c r="E3" s="1515"/>
      <c r="F3" s="1515"/>
      <c r="G3" s="1515"/>
      <c r="H3" s="1515"/>
      <c r="I3" s="1515"/>
      <c r="J3" s="1515"/>
      <c r="K3" s="1515"/>
      <c r="L3" s="1515"/>
      <c r="M3" s="1515"/>
      <c r="N3" s="1515"/>
      <c r="O3" s="1515"/>
      <c r="P3" s="1515"/>
      <c r="Q3" s="1515"/>
      <c r="R3" s="1515"/>
      <c r="S3" s="1515"/>
      <c r="T3" s="1515"/>
      <c r="U3" s="1515"/>
      <c r="V3" s="1515"/>
      <c r="W3" s="1515"/>
      <c r="X3" s="1515"/>
      <c r="Y3" s="1515"/>
      <c r="Z3" s="1515"/>
      <c r="AA3" s="1515"/>
      <c r="AB3" s="1515"/>
      <c r="AC3" s="1515"/>
      <c r="AD3" s="1515"/>
      <c r="AE3" s="1515"/>
      <c r="AF3" s="1515"/>
      <c r="AG3" s="1515"/>
      <c r="AH3" s="1515"/>
      <c r="AI3" s="1515"/>
      <c r="AJ3" s="1515"/>
      <c r="AK3" s="1515"/>
      <c r="AL3" s="1515"/>
      <c r="AM3" s="1515"/>
      <c r="AN3" s="1515"/>
      <c r="AO3" s="1515"/>
      <c r="AP3" s="1515"/>
      <c r="AQ3" s="1515"/>
      <c r="AR3" s="1515"/>
      <c r="AS3" s="1515"/>
      <c r="AT3" s="1515"/>
      <c r="AU3" s="1515"/>
      <c r="AV3" s="1516"/>
    </row>
    <row r="4" spans="1:48">
      <c r="A4" s="1194"/>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95"/>
    </row>
    <row r="5" spans="1:48">
      <c r="A5" s="1194"/>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95"/>
    </row>
    <row r="6" spans="1:48">
      <c r="A6" s="1521" t="s">
        <v>1307</v>
      </c>
      <c r="B6" s="1522"/>
      <c r="C6" s="1522"/>
      <c r="D6" s="1522"/>
      <c r="E6" s="1522"/>
      <c r="F6" s="1522"/>
      <c r="G6" s="1522"/>
      <c r="H6" s="1522"/>
      <c r="I6" s="1523" t="str">
        <f>'Final Estimate'!A2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J6" s="1523"/>
      <c r="K6" s="1523"/>
      <c r="L6" s="1523"/>
      <c r="M6" s="1523"/>
      <c r="N6" s="1523"/>
      <c r="O6" s="1523"/>
      <c r="P6" s="1523"/>
      <c r="Q6" s="1523"/>
      <c r="R6" s="1523"/>
      <c r="S6" s="1523"/>
      <c r="T6" s="1523"/>
      <c r="U6" s="1523"/>
      <c r="V6" s="1523"/>
      <c r="W6" s="1523"/>
      <c r="X6" s="1523"/>
      <c r="Y6" s="1523"/>
      <c r="Z6" s="1523"/>
      <c r="AA6" s="1523"/>
      <c r="AB6" s="1523"/>
      <c r="AC6" s="1523"/>
      <c r="AD6" s="1523"/>
      <c r="AE6" s="1523"/>
      <c r="AF6" s="1523"/>
      <c r="AG6" s="1523"/>
      <c r="AH6" s="1523"/>
      <c r="AI6" s="1523"/>
      <c r="AJ6" s="1523"/>
      <c r="AK6" s="1523"/>
      <c r="AL6" s="1523"/>
      <c r="AM6" s="1523"/>
      <c r="AN6" s="1523"/>
      <c r="AO6" s="1523"/>
      <c r="AP6" s="1523"/>
      <c r="AQ6" s="1523"/>
      <c r="AR6" s="1523"/>
      <c r="AS6" s="1523"/>
      <c r="AT6" s="1523"/>
      <c r="AU6" s="1523"/>
      <c r="AV6" s="1195"/>
    </row>
    <row r="7" spans="1:48">
      <c r="A7" s="1521"/>
      <c r="B7" s="1522"/>
      <c r="C7" s="1522"/>
      <c r="D7" s="1522"/>
      <c r="E7" s="1522"/>
      <c r="F7" s="1522"/>
      <c r="G7" s="1522"/>
      <c r="H7" s="1522"/>
      <c r="I7" s="1523"/>
      <c r="J7" s="1523"/>
      <c r="K7" s="1523"/>
      <c r="L7" s="1523"/>
      <c r="M7" s="1523"/>
      <c r="N7" s="1523"/>
      <c r="O7" s="1523"/>
      <c r="P7" s="1523"/>
      <c r="Q7" s="1523"/>
      <c r="R7" s="1523"/>
      <c r="S7" s="1523"/>
      <c r="T7" s="1523"/>
      <c r="U7" s="1523"/>
      <c r="V7" s="1523"/>
      <c r="W7" s="1523"/>
      <c r="X7" s="1523"/>
      <c r="Y7" s="1523"/>
      <c r="Z7" s="1523"/>
      <c r="AA7" s="1523"/>
      <c r="AB7" s="1523"/>
      <c r="AC7" s="1523"/>
      <c r="AD7" s="1523"/>
      <c r="AE7" s="1523"/>
      <c r="AF7" s="1523"/>
      <c r="AG7" s="1523"/>
      <c r="AH7" s="1523"/>
      <c r="AI7" s="1523"/>
      <c r="AJ7" s="1523"/>
      <c r="AK7" s="1523"/>
      <c r="AL7" s="1523"/>
      <c r="AM7" s="1523"/>
      <c r="AN7" s="1523"/>
      <c r="AO7" s="1523"/>
      <c r="AP7" s="1523"/>
      <c r="AQ7" s="1523"/>
      <c r="AR7" s="1523"/>
      <c r="AS7" s="1523"/>
      <c r="AT7" s="1523"/>
      <c r="AU7" s="1523"/>
      <c r="AV7" s="1195"/>
    </row>
    <row r="8" spans="1:48">
      <c r="A8" s="1521"/>
      <c r="B8" s="1522"/>
      <c r="C8" s="1522"/>
      <c r="D8" s="1522"/>
      <c r="E8" s="1522"/>
      <c r="F8" s="1522"/>
      <c r="G8" s="1522"/>
      <c r="H8" s="1522"/>
      <c r="I8" s="1523"/>
      <c r="J8" s="1523"/>
      <c r="K8" s="1523"/>
      <c r="L8" s="1523"/>
      <c r="M8" s="1523"/>
      <c r="N8" s="1523"/>
      <c r="O8" s="1523"/>
      <c r="P8" s="1523"/>
      <c r="Q8" s="1523"/>
      <c r="R8" s="1523"/>
      <c r="S8" s="1523"/>
      <c r="T8" s="1523"/>
      <c r="U8" s="1523"/>
      <c r="V8" s="1523"/>
      <c r="W8" s="1523"/>
      <c r="X8" s="1523"/>
      <c r="Y8" s="1523"/>
      <c r="Z8" s="1523"/>
      <c r="AA8" s="1523"/>
      <c r="AB8" s="1523"/>
      <c r="AC8" s="1523"/>
      <c r="AD8" s="1523"/>
      <c r="AE8" s="1523"/>
      <c r="AF8" s="1523"/>
      <c r="AG8" s="1523"/>
      <c r="AH8" s="1523"/>
      <c r="AI8" s="1523"/>
      <c r="AJ8" s="1523"/>
      <c r="AK8" s="1523"/>
      <c r="AL8" s="1523"/>
      <c r="AM8" s="1523"/>
      <c r="AN8" s="1523"/>
      <c r="AO8" s="1523"/>
      <c r="AP8" s="1523"/>
      <c r="AQ8" s="1523"/>
      <c r="AR8" s="1523"/>
      <c r="AS8" s="1523"/>
      <c r="AT8" s="1523"/>
      <c r="AU8" s="1523"/>
      <c r="AV8" s="1195"/>
    </row>
    <row r="9" spans="1:48">
      <c r="A9" s="1521"/>
      <c r="B9" s="1522"/>
      <c r="C9" s="1522"/>
      <c r="D9" s="1522"/>
      <c r="E9" s="1522"/>
      <c r="F9" s="1522"/>
      <c r="G9" s="1522"/>
      <c r="H9" s="1522"/>
      <c r="I9" s="1523"/>
      <c r="J9" s="1523"/>
      <c r="K9" s="1523"/>
      <c r="L9" s="1523"/>
      <c r="M9" s="1523"/>
      <c r="N9" s="1523"/>
      <c r="O9" s="1523"/>
      <c r="P9" s="1523"/>
      <c r="Q9" s="1523"/>
      <c r="R9" s="1523"/>
      <c r="S9" s="1523"/>
      <c r="T9" s="1523"/>
      <c r="U9" s="1523"/>
      <c r="V9" s="1523"/>
      <c r="W9" s="1523"/>
      <c r="X9" s="1523"/>
      <c r="Y9" s="1523"/>
      <c r="Z9" s="1523"/>
      <c r="AA9" s="1523"/>
      <c r="AB9" s="1523"/>
      <c r="AC9" s="1523"/>
      <c r="AD9" s="1523"/>
      <c r="AE9" s="1523"/>
      <c r="AF9" s="1523"/>
      <c r="AG9" s="1523"/>
      <c r="AH9" s="1523"/>
      <c r="AI9" s="1523"/>
      <c r="AJ9" s="1523"/>
      <c r="AK9" s="1523"/>
      <c r="AL9" s="1523"/>
      <c r="AM9" s="1523"/>
      <c r="AN9" s="1523"/>
      <c r="AO9" s="1523"/>
      <c r="AP9" s="1523"/>
      <c r="AQ9" s="1523"/>
      <c r="AR9" s="1523"/>
      <c r="AS9" s="1523"/>
      <c r="AT9" s="1523"/>
      <c r="AU9" s="1523"/>
      <c r="AV9" s="1195"/>
    </row>
    <row r="10" spans="1:48">
      <c r="A10" s="1194"/>
      <c r="B10" s="11"/>
      <c r="C10" s="11"/>
      <c r="D10" s="11"/>
      <c r="E10" s="11"/>
      <c r="F10" s="11"/>
      <c r="G10" s="11"/>
      <c r="H10" s="11"/>
      <c r="I10" s="1523"/>
      <c r="J10" s="1523"/>
      <c r="K10" s="1523"/>
      <c r="L10" s="1523"/>
      <c r="M10" s="1523"/>
      <c r="N10" s="1523"/>
      <c r="O10" s="1523"/>
      <c r="P10" s="1523"/>
      <c r="Q10" s="1523"/>
      <c r="R10" s="1523"/>
      <c r="S10" s="1523"/>
      <c r="T10" s="1523"/>
      <c r="U10" s="1523"/>
      <c r="V10" s="1523"/>
      <c r="W10" s="1523"/>
      <c r="X10" s="1523"/>
      <c r="Y10" s="1523"/>
      <c r="Z10" s="1523"/>
      <c r="AA10" s="1523"/>
      <c r="AB10" s="1523"/>
      <c r="AC10" s="1523"/>
      <c r="AD10" s="1523"/>
      <c r="AE10" s="1523"/>
      <c r="AF10" s="1523"/>
      <c r="AG10" s="1523"/>
      <c r="AH10" s="1523"/>
      <c r="AI10" s="1523"/>
      <c r="AJ10" s="1523"/>
      <c r="AK10" s="1523"/>
      <c r="AL10" s="1523"/>
      <c r="AM10" s="1523"/>
      <c r="AN10" s="1523"/>
      <c r="AO10" s="1523"/>
      <c r="AP10" s="1523"/>
      <c r="AQ10" s="1523"/>
      <c r="AR10" s="1523"/>
      <c r="AS10" s="1523"/>
      <c r="AT10" s="1523"/>
      <c r="AU10" s="1523"/>
      <c r="AV10" s="1195"/>
    </row>
    <row r="11" spans="1:48">
      <c r="A11" s="1194"/>
      <c r="B11" s="11"/>
      <c r="C11" s="11"/>
      <c r="D11" s="11"/>
      <c r="E11" s="11"/>
      <c r="F11" s="11"/>
      <c r="G11" s="11"/>
      <c r="H11" s="11"/>
      <c r="I11" s="1523"/>
      <c r="J11" s="1523"/>
      <c r="K11" s="1523"/>
      <c r="L11" s="1523"/>
      <c r="M11" s="1523"/>
      <c r="N11" s="1523"/>
      <c r="O11" s="1523"/>
      <c r="P11" s="1523"/>
      <c r="Q11" s="1523"/>
      <c r="R11" s="1523"/>
      <c r="S11" s="1523"/>
      <c r="T11" s="1523"/>
      <c r="U11" s="1523"/>
      <c r="V11" s="1523"/>
      <c r="W11" s="1523"/>
      <c r="X11" s="1523"/>
      <c r="Y11" s="1523"/>
      <c r="Z11" s="1523"/>
      <c r="AA11" s="1523"/>
      <c r="AB11" s="1523"/>
      <c r="AC11" s="1523"/>
      <c r="AD11" s="1523"/>
      <c r="AE11" s="1523"/>
      <c r="AF11" s="1523"/>
      <c r="AG11" s="1523"/>
      <c r="AH11" s="1523"/>
      <c r="AI11" s="1523"/>
      <c r="AJ11" s="1523"/>
      <c r="AK11" s="1523"/>
      <c r="AL11" s="1523"/>
      <c r="AM11" s="1523"/>
      <c r="AN11" s="1523"/>
      <c r="AO11" s="1523"/>
      <c r="AP11" s="1523"/>
      <c r="AQ11" s="1523"/>
      <c r="AR11" s="1523"/>
      <c r="AS11" s="1523"/>
      <c r="AT11" s="1523"/>
      <c r="AU11" s="1523"/>
      <c r="AV11" s="1195"/>
    </row>
    <row r="12" spans="1:48">
      <c r="A12" s="1194"/>
      <c r="B12" s="11"/>
      <c r="C12" s="11"/>
      <c r="D12" s="11"/>
      <c r="E12" s="11"/>
      <c r="F12" s="11"/>
      <c r="G12" s="11"/>
      <c r="H12" s="11"/>
      <c r="I12" s="1523"/>
      <c r="J12" s="1523"/>
      <c r="K12" s="1523"/>
      <c r="L12" s="1523"/>
      <c r="M12" s="1523"/>
      <c r="N12" s="1523"/>
      <c r="O12" s="1523"/>
      <c r="P12" s="1523"/>
      <c r="Q12" s="1523"/>
      <c r="R12" s="1523"/>
      <c r="S12" s="1523"/>
      <c r="T12" s="1523"/>
      <c r="U12" s="1523"/>
      <c r="V12" s="1523"/>
      <c r="W12" s="1523"/>
      <c r="X12" s="1523"/>
      <c r="Y12" s="1523"/>
      <c r="Z12" s="1523"/>
      <c r="AA12" s="1523"/>
      <c r="AB12" s="1523"/>
      <c r="AC12" s="1523"/>
      <c r="AD12" s="1523"/>
      <c r="AE12" s="1523"/>
      <c r="AF12" s="1523"/>
      <c r="AG12" s="1523"/>
      <c r="AH12" s="1523"/>
      <c r="AI12" s="1523"/>
      <c r="AJ12" s="1523"/>
      <c r="AK12" s="1523"/>
      <c r="AL12" s="1523"/>
      <c r="AM12" s="1523"/>
      <c r="AN12" s="1523"/>
      <c r="AO12" s="1523"/>
      <c r="AP12" s="1523"/>
      <c r="AQ12" s="1523"/>
      <c r="AR12" s="1523"/>
      <c r="AS12" s="1523"/>
      <c r="AT12" s="1523"/>
      <c r="AU12" s="1523"/>
      <c r="AV12" s="1195"/>
    </row>
    <row r="13" spans="1:48">
      <c r="A13" s="1194"/>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95"/>
    </row>
    <row r="14" spans="1:48">
      <c r="A14" s="1194"/>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95"/>
    </row>
    <row r="15" spans="1:48">
      <c r="A15" s="1194"/>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95"/>
    </row>
    <row r="16" spans="1:48">
      <c r="A16" s="1194"/>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95"/>
    </row>
    <row r="17" spans="1:48">
      <c r="A17" s="1194"/>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95"/>
    </row>
    <row r="18" spans="1:48">
      <c r="A18" s="1194"/>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95"/>
    </row>
    <row r="19" spans="1:48">
      <c r="A19" s="1194"/>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95"/>
    </row>
    <row r="20" spans="1:48">
      <c r="A20" s="1194"/>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95"/>
    </row>
    <row r="21" spans="1:48">
      <c r="A21" s="1194"/>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95"/>
    </row>
    <row r="22" spans="1:48">
      <c r="A22" s="1194"/>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95"/>
    </row>
    <row r="23" spans="1:48">
      <c r="A23" s="1194"/>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95"/>
    </row>
    <row r="24" spans="1:48">
      <c r="A24" s="1194"/>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95"/>
    </row>
    <row r="25" spans="1:48">
      <c r="A25" s="1194"/>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95"/>
    </row>
    <row r="26" spans="1:48" ht="13.5" thickBot="1">
      <c r="A26" s="1194"/>
      <c r="B26" s="1202" t="s">
        <v>1301</v>
      </c>
      <c r="C26" s="1203"/>
      <c r="D26" s="1203"/>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202" t="s">
        <v>1301</v>
      </c>
      <c r="AQ26" s="11"/>
      <c r="AR26" s="11"/>
      <c r="AS26" s="11"/>
      <c r="AT26" s="11"/>
      <c r="AU26" s="11"/>
      <c r="AV26" s="1195"/>
    </row>
    <row r="27" spans="1:48">
      <c r="A27" s="1194"/>
      <c r="B27" s="11"/>
      <c r="C27" s="11"/>
      <c r="D27" s="8"/>
      <c r="E27" s="1517"/>
      <c r="F27" s="1509"/>
      <c r="G27" s="1510"/>
      <c r="H27" s="1517"/>
      <c r="I27" s="8"/>
      <c r="J27" s="8"/>
      <c r="K27" s="8"/>
      <c r="L27" s="8"/>
      <c r="M27" s="8"/>
      <c r="N27" s="8"/>
      <c r="O27" s="1517"/>
      <c r="P27" s="1509"/>
      <c r="Q27" s="1510"/>
      <c r="R27" s="1517"/>
      <c r="S27" s="8"/>
      <c r="T27" s="8"/>
      <c r="U27" s="8"/>
      <c r="V27" s="8"/>
      <c r="W27" s="8"/>
      <c r="X27" s="8"/>
      <c r="Y27" s="1517"/>
      <c r="Z27" s="1509"/>
      <c r="AA27" s="1510"/>
      <c r="AB27" s="1517"/>
      <c r="AC27" s="8"/>
      <c r="AD27" s="8"/>
      <c r="AE27" s="8"/>
      <c r="AF27" s="8"/>
      <c r="AG27" s="8"/>
      <c r="AH27" s="1517"/>
      <c r="AI27" s="1509"/>
      <c r="AJ27" s="1510"/>
      <c r="AK27" s="1517"/>
      <c r="AL27" s="8"/>
      <c r="AM27" s="8"/>
      <c r="AN27" s="8"/>
      <c r="AO27" s="8"/>
      <c r="AP27" s="8"/>
      <c r="AQ27" s="8"/>
      <c r="AR27" s="11"/>
      <c r="AS27" s="11"/>
      <c r="AT27" s="11"/>
      <c r="AU27" s="11"/>
      <c r="AV27" s="1195"/>
    </row>
    <row r="28" spans="1:48" ht="13.5" thickBot="1">
      <c r="A28" s="1194"/>
      <c r="B28" s="11"/>
      <c r="C28" s="11"/>
      <c r="D28" s="11"/>
      <c r="E28" s="1518"/>
      <c r="F28" s="1194"/>
      <c r="G28" s="11"/>
      <c r="H28" s="1518"/>
      <c r="I28" s="11"/>
      <c r="J28" s="11"/>
      <c r="K28" s="11"/>
      <c r="L28" s="11"/>
      <c r="M28" s="11"/>
      <c r="N28" s="11"/>
      <c r="O28" s="1518"/>
      <c r="P28" s="1194"/>
      <c r="Q28" s="11"/>
      <c r="R28" s="1518"/>
      <c r="S28" s="11"/>
      <c r="T28" s="11"/>
      <c r="U28" s="11"/>
      <c r="V28" s="11"/>
      <c r="W28" s="11"/>
      <c r="X28" s="11"/>
      <c r="Y28" s="1518"/>
      <c r="Z28" s="1194"/>
      <c r="AA28" s="11"/>
      <c r="AB28" s="1518"/>
      <c r="AC28" s="11"/>
      <c r="AD28" s="11"/>
      <c r="AE28" s="11"/>
      <c r="AF28" s="11"/>
      <c r="AG28" s="11"/>
      <c r="AH28" s="1518"/>
      <c r="AI28" s="1194"/>
      <c r="AJ28" s="11"/>
      <c r="AK28" s="1518"/>
      <c r="AL28" s="11"/>
      <c r="AM28" s="11"/>
      <c r="AN28" s="11"/>
      <c r="AO28" s="11"/>
      <c r="AP28" s="11"/>
      <c r="AQ28" s="11"/>
      <c r="AR28" s="11"/>
      <c r="AS28" s="11"/>
      <c r="AT28" s="11"/>
      <c r="AU28" s="11"/>
      <c r="AV28" s="1195"/>
    </row>
    <row r="29" spans="1:48">
      <c r="A29" s="1194"/>
      <c r="B29" s="11"/>
      <c r="C29" s="11"/>
      <c r="D29" s="1191"/>
      <c r="E29" s="1518"/>
      <c r="F29" s="1191"/>
      <c r="G29" s="1193"/>
      <c r="H29" s="1199"/>
      <c r="I29" s="1192"/>
      <c r="J29" s="1192"/>
      <c r="K29" s="1192"/>
      <c r="L29" s="1192"/>
      <c r="M29" s="1192"/>
      <c r="N29" s="1192"/>
      <c r="O29" s="1518"/>
      <c r="P29" s="1191"/>
      <c r="Q29" s="1193"/>
      <c r="R29" s="1199"/>
      <c r="S29" s="1192"/>
      <c r="T29" s="1192"/>
      <c r="U29" s="1192"/>
      <c r="V29" s="1192"/>
      <c r="W29" s="1192"/>
      <c r="X29" s="1192"/>
      <c r="Y29" s="1518"/>
      <c r="Z29" s="1191"/>
      <c r="AA29" s="1193"/>
      <c r="AB29" s="1199"/>
      <c r="AC29" s="1192"/>
      <c r="AD29" s="1192"/>
      <c r="AE29" s="1192"/>
      <c r="AF29" s="1192"/>
      <c r="AG29" s="1192"/>
      <c r="AH29" s="1518"/>
      <c r="AI29" s="1191"/>
      <c r="AJ29" s="1193"/>
      <c r="AK29" s="1199"/>
      <c r="AL29" s="1192"/>
      <c r="AM29" s="1192"/>
      <c r="AN29" s="1192"/>
      <c r="AO29" s="1192"/>
      <c r="AP29" s="1192"/>
      <c r="AQ29" s="1193"/>
      <c r="AR29" s="11"/>
      <c r="AS29" s="11"/>
      <c r="AT29" s="11"/>
      <c r="AU29" s="11"/>
      <c r="AV29" s="1195"/>
    </row>
    <row r="30" spans="1:48" ht="13.5" thickBot="1">
      <c r="A30" s="1194"/>
      <c r="B30" s="11"/>
      <c r="C30" s="11"/>
      <c r="D30" s="1196"/>
      <c r="E30" s="1518"/>
      <c r="F30" s="1196"/>
      <c r="G30" s="1198"/>
      <c r="H30" s="1200"/>
      <c r="I30" s="1197"/>
      <c r="J30" s="1197"/>
      <c r="K30" s="1197"/>
      <c r="L30" s="1197"/>
      <c r="M30" s="1197"/>
      <c r="N30" s="1197"/>
      <c r="O30" s="1518"/>
      <c r="P30" s="1196"/>
      <c r="Q30" s="1198"/>
      <c r="R30" s="1200"/>
      <c r="S30" s="1197"/>
      <c r="T30" s="1197"/>
      <c r="U30" s="1197"/>
      <c r="V30" s="1197"/>
      <c r="W30" s="1197"/>
      <c r="X30" s="1197"/>
      <c r="Y30" s="1518"/>
      <c r="Z30" s="1196"/>
      <c r="AA30" s="1198"/>
      <c r="AB30" s="1200"/>
      <c r="AC30" s="1197"/>
      <c r="AD30" s="1197"/>
      <c r="AE30" s="1197"/>
      <c r="AF30" s="1197"/>
      <c r="AG30" s="1197"/>
      <c r="AH30" s="1518"/>
      <c r="AI30" s="1196"/>
      <c r="AJ30" s="1198"/>
      <c r="AK30" s="1200"/>
      <c r="AL30" s="1197"/>
      <c r="AM30" s="1197"/>
      <c r="AN30" s="1197"/>
      <c r="AO30" s="1197"/>
      <c r="AP30" s="1197"/>
      <c r="AQ30" s="1198"/>
      <c r="AR30" s="11"/>
      <c r="AS30" s="11"/>
      <c r="AT30" s="11"/>
      <c r="AU30" s="11"/>
      <c r="AV30" s="1195"/>
    </row>
    <row r="31" spans="1:48" ht="13.5" thickBot="1">
      <c r="A31" s="1194"/>
      <c r="B31" s="11"/>
      <c r="C31" s="11"/>
      <c r="D31" s="11"/>
      <c r="E31" s="1519"/>
      <c r="F31" s="1520"/>
      <c r="G31" s="1520"/>
      <c r="H31" s="1201"/>
      <c r="I31" s="11"/>
      <c r="J31" s="11"/>
      <c r="K31" s="11"/>
      <c r="L31" s="11"/>
      <c r="M31" s="11"/>
      <c r="N31" s="11"/>
      <c r="O31" s="1519"/>
      <c r="P31" s="1520"/>
      <c r="Q31" s="1520"/>
      <c r="R31" s="1201"/>
      <c r="S31" s="11"/>
      <c r="T31" s="11"/>
      <c r="U31" s="11"/>
      <c r="V31" s="11"/>
      <c r="W31" s="11"/>
      <c r="X31" s="11"/>
      <c r="Y31" s="1519"/>
      <c r="Z31" s="1520"/>
      <c r="AA31" s="1520"/>
      <c r="AB31" s="1201"/>
      <c r="AC31" s="11"/>
      <c r="AD31" s="11"/>
      <c r="AE31" s="11"/>
      <c r="AF31" s="11"/>
      <c r="AG31" s="11"/>
      <c r="AH31" s="1519"/>
      <c r="AI31" s="1520"/>
      <c r="AJ31" s="1520"/>
      <c r="AK31" s="1201"/>
      <c r="AL31" s="11"/>
      <c r="AM31" s="11"/>
      <c r="AN31" s="1507" t="s">
        <v>1306</v>
      </c>
      <c r="AO31" s="1508"/>
      <c r="AP31" s="1508"/>
      <c r="AQ31" s="1508"/>
      <c r="AR31" s="11"/>
      <c r="AS31" s="11"/>
      <c r="AT31" s="11"/>
      <c r="AU31" s="11"/>
      <c r="AV31" s="1195"/>
    </row>
    <row r="32" spans="1:48">
      <c r="A32" s="1194"/>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95"/>
    </row>
    <row r="33" spans="1:48">
      <c r="A33" s="1194"/>
      <c r="B33" s="11"/>
      <c r="C33" s="11"/>
      <c r="D33" s="11"/>
      <c r="E33" s="1505" t="s">
        <v>1305</v>
      </c>
      <c r="F33" s="1506"/>
      <c r="G33" s="1506"/>
      <c r="H33" s="1506"/>
      <c r="I33" s="11"/>
      <c r="J33" s="11"/>
      <c r="K33" s="11"/>
      <c r="L33" s="11"/>
      <c r="M33" s="11"/>
      <c r="N33" s="11"/>
      <c r="O33" s="1505" t="s">
        <v>1304</v>
      </c>
      <c r="P33" s="1506"/>
      <c r="Q33" s="1506"/>
      <c r="R33" s="1506"/>
      <c r="S33" s="11"/>
      <c r="T33" s="11"/>
      <c r="U33" s="11"/>
      <c r="V33" s="11"/>
      <c r="W33" s="11"/>
      <c r="X33" s="11"/>
      <c r="Y33" s="1505" t="s">
        <v>1303</v>
      </c>
      <c r="Z33" s="1506"/>
      <c r="AA33" s="1506"/>
      <c r="AB33" s="1506"/>
      <c r="AC33" s="11"/>
      <c r="AD33" s="11"/>
      <c r="AE33" s="11"/>
      <c r="AF33" s="11"/>
      <c r="AG33" s="11"/>
      <c r="AH33" s="1505" t="s">
        <v>1302</v>
      </c>
      <c r="AI33" s="1506"/>
      <c r="AJ33" s="1506"/>
      <c r="AK33" s="1506"/>
      <c r="AL33" s="11"/>
      <c r="AM33" s="11"/>
      <c r="AN33" s="11"/>
      <c r="AO33" s="11"/>
      <c r="AP33" s="11"/>
      <c r="AQ33" s="11"/>
      <c r="AR33" s="11"/>
      <c r="AS33" s="11"/>
      <c r="AT33" s="11"/>
      <c r="AU33" s="11"/>
      <c r="AV33" s="1195"/>
    </row>
    <row r="34" spans="1:48">
      <c r="A34" s="1194"/>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95"/>
    </row>
    <row r="35" spans="1:48">
      <c r="A35" s="1194"/>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95"/>
    </row>
    <row r="36" spans="1:48">
      <c r="A36" s="1194"/>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95"/>
    </row>
    <row r="37" spans="1:48">
      <c r="A37" s="1194"/>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95"/>
    </row>
    <row r="38" spans="1:48">
      <c r="A38" s="1194"/>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95"/>
    </row>
    <row r="39" spans="1:48">
      <c r="A39" s="1194"/>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95"/>
    </row>
    <row r="40" spans="1:48" ht="13.5" thickBot="1">
      <c r="A40" s="1196"/>
      <c r="B40" s="1197"/>
      <c r="C40" s="1197"/>
      <c r="D40" s="1197"/>
      <c r="E40" s="1197"/>
      <c r="F40" s="1197"/>
      <c r="G40" s="1197"/>
      <c r="H40" s="1197"/>
      <c r="I40" s="1197"/>
      <c r="J40" s="1197"/>
      <c r="K40" s="1197"/>
      <c r="L40" s="1197"/>
      <c r="M40" s="1197"/>
      <c r="N40" s="1197"/>
      <c r="O40" s="1197"/>
      <c r="P40" s="1197"/>
      <c r="Q40" s="1197"/>
      <c r="R40" s="1197"/>
      <c r="S40" s="1197"/>
      <c r="T40" s="1197"/>
      <c r="U40" s="1197"/>
      <c r="V40" s="1197"/>
      <c r="W40" s="1197"/>
      <c r="X40" s="1197"/>
      <c r="Y40" s="1197"/>
      <c r="Z40" s="1197"/>
      <c r="AA40" s="1197"/>
      <c r="AB40" s="1197"/>
      <c r="AC40" s="1197"/>
      <c r="AD40" s="1197"/>
      <c r="AE40" s="1197"/>
      <c r="AF40" s="1197"/>
      <c r="AG40" s="1197"/>
      <c r="AH40" s="1197"/>
      <c r="AI40" s="1197"/>
      <c r="AJ40" s="1197"/>
      <c r="AK40" s="1197"/>
      <c r="AL40" s="1197"/>
      <c r="AM40" s="1197"/>
      <c r="AN40" s="1197"/>
      <c r="AO40" s="1197"/>
      <c r="AP40" s="1197"/>
      <c r="AQ40" s="1197"/>
      <c r="AR40" s="1197"/>
      <c r="AS40" s="1197"/>
      <c r="AT40" s="1197"/>
      <c r="AU40" s="1197"/>
      <c r="AV40" s="1198"/>
    </row>
  </sheetData>
  <mergeCells count="24">
    <mergeCell ref="A1:AV3"/>
    <mergeCell ref="E27:E31"/>
    <mergeCell ref="F31:G31"/>
    <mergeCell ref="H27:H28"/>
    <mergeCell ref="O27:O31"/>
    <mergeCell ref="R27:R28"/>
    <mergeCell ref="P31:Q31"/>
    <mergeCell ref="Y27:Y31"/>
    <mergeCell ref="AB27:AB28"/>
    <mergeCell ref="A6:H9"/>
    <mergeCell ref="I6:AU12"/>
    <mergeCell ref="Z31:AA31"/>
    <mergeCell ref="AH27:AH31"/>
    <mergeCell ref="AK27:AK28"/>
    <mergeCell ref="AI31:AJ31"/>
    <mergeCell ref="F27:G27"/>
    <mergeCell ref="E33:H33"/>
    <mergeCell ref="AN31:AQ31"/>
    <mergeCell ref="P27:Q27"/>
    <mergeCell ref="Z27:AA27"/>
    <mergeCell ref="AI27:AJ27"/>
    <mergeCell ref="AH33:AK33"/>
    <mergeCell ref="Y33:AB33"/>
    <mergeCell ref="O33:R33"/>
  </mergeCells>
  <pageMargins left="0.7" right="0.7" top="0.75" bottom="0.75" header="0.3" footer="0.3"/>
  <pageSetup orientation="landscape" r:id="rId1"/>
  <drawing r:id="rId2"/>
</worksheet>
</file>

<file path=xl/worksheets/sheet10.xml><?xml version="1.0" encoding="utf-8"?>
<worksheet xmlns="http://schemas.openxmlformats.org/spreadsheetml/2006/main" xmlns:r="http://schemas.openxmlformats.org/officeDocument/2006/relationships">
  <dimension ref="A1:CA53"/>
  <sheetViews>
    <sheetView view="pageBreakPreview" zoomScaleNormal="115" zoomScaleSheetLayoutView="100" workbookViewId="0">
      <selection activeCell="AE38" sqref="AE38"/>
    </sheetView>
  </sheetViews>
  <sheetFormatPr defaultColWidth="1.7109375" defaultRowHeight="9.75" customHeight="1"/>
  <cols>
    <col min="8" max="10" width="1.42578125" customWidth="1"/>
    <col min="17" max="19" width="1" customWidth="1"/>
    <col min="36" max="36" width="2" bestFit="1" customWidth="1"/>
    <col min="39" max="39" width="2" bestFit="1" customWidth="1"/>
    <col min="46" max="46" width="2" bestFit="1" customWidth="1"/>
  </cols>
  <sheetData>
    <row r="1" spans="1:79" ht="9.75" customHeight="1">
      <c r="A1" s="1526" t="s">
        <v>1300</v>
      </c>
      <c r="B1" s="1527"/>
      <c r="C1" s="1527"/>
      <c r="D1" s="1527"/>
      <c r="E1" s="1527"/>
      <c r="F1" s="1527"/>
      <c r="G1" s="1527"/>
      <c r="H1" s="1527"/>
      <c r="I1" s="1527"/>
      <c r="J1" s="1527"/>
      <c r="K1" s="1527"/>
      <c r="L1" s="1527"/>
      <c r="M1" s="1527"/>
      <c r="N1" s="1527"/>
      <c r="O1" s="1527"/>
      <c r="P1" s="1527"/>
      <c r="Q1" s="1527"/>
      <c r="R1" s="1527"/>
      <c r="S1" s="1527"/>
      <c r="T1" s="1527"/>
      <c r="U1" s="1527"/>
      <c r="V1" s="1527"/>
      <c r="W1" s="1527"/>
      <c r="X1" s="1527"/>
      <c r="Y1" s="1527"/>
      <c r="Z1" s="1527"/>
      <c r="AA1" s="1527"/>
      <c r="AB1" s="1527"/>
      <c r="AC1" s="1527"/>
      <c r="AD1" s="1527"/>
      <c r="AE1" s="1527"/>
      <c r="AF1" s="1527"/>
      <c r="AG1" s="1527"/>
      <c r="AH1" s="1527"/>
      <c r="AI1" s="1527"/>
      <c r="AJ1" s="1527"/>
      <c r="AK1" s="1527"/>
      <c r="AL1" s="1527"/>
      <c r="AM1" s="1527"/>
      <c r="AN1" s="1527"/>
      <c r="AO1" s="1527"/>
      <c r="AP1" s="1527"/>
      <c r="AQ1" s="1527"/>
      <c r="AR1" s="1527"/>
      <c r="AS1" s="1527"/>
      <c r="AT1" s="1527"/>
      <c r="AU1" s="1527"/>
      <c r="AV1" s="1527"/>
      <c r="AW1" s="1527"/>
      <c r="AX1" s="1527"/>
      <c r="AY1" s="1527"/>
      <c r="AZ1" s="1527"/>
      <c r="BA1" s="1527"/>
      <c r="BB1" s="1527"/>
      <c r="BC1" s="1527"/>
      <c r="BD1" s="1527"/>
      <c r="BE1" s="1527"/>
      <c r="BF1" s="1527"/>
      <c r="BG1" s="1527"/>
      <c r="BH1" s="1527"/>
      <c r="BI1" s="1527"/>
      <c r="BJ1" s="1527"/>
      <c r="BK1" s="1527"/>
      <c r="BL1" s="1527"/>
      <c r="BM1" s="1527"/>
      <c r="BN1" s="1527"/>
      <c r="BO1" s="1527"/>
      <c r="BP1" s="1527"/>
      <c r="BQ1" s="1527"/>
      <c r="BR1" s="1527"/>
      <c r="BS1" s="1527"/>
      <c r="BT1" s="1527"/>
      <c r="BU1" s="1527"/>
      <c r="BV1" s="1527"/>
      <c r="BW1" s="1527"/>
      <c r="BX1" s="1527"/>
      <c r="BY1" s="1527"/>
      <c r="BZ1" s="1527"/>
      <c r="CA1" s="1528"/>
    </row>
    <row r="2" spans="1:79" ht="9.75" customHeight="1">
      <c r="A2" s="1529"/>
      <c r="B2" s="1530"/>
      <c r="C2" s="1530"/>
      <c r="D2" s="1530"/>
      <c r="E2" s="1530"/>
      <c r="F2" s="1530"/>
      <c r="G2" s="1530"/>
      <c r="H2" s="1530"/>
      <c r="I2" s="1530"/>
      <c r="J2" s="1530"/>
      <c r="K2" s="1530"/>
      <c r="L2" s="1530"/>
      <c r="M2" s="1530"/>
      <c r="N2" s="1530"/>
      <c r="O2" s="1530"/>
      <c r="P2" s="1530"/>
      <c r="Q2" s="1530"/>
      <c r="R2" s="1530"/>
      <c r="S2" s="1530"/>
      <c r="T2" s="1530"/>
      <c r="U2" s="1530"/>
      <c r="V2" s="1530"/>
      <c r="W2" s="1530"/>
      <c r="X2" s="1530"/>
      <c r="Y2" s="1530"/>
      <c r="Z2" s="1530"/>
      <c r="AA2" s="1530"/>
      <c r="AB2" s="1530"/>
      <c r="AC2" s="1530"/>
      <c r="AD2" s="1530"/>
      <c r="AE2" s="1530"/>
      <c r="AF2" s="1530"/>
      <c r="AG2" s="1530"/>
      <c r="AH2" s="1530"/>
      <c r="AI2" s="1530"/>
      <c r="AJ2" s="1530"/>
      <c r="AK2" s="1530"/>
      <c r="AL2" s="1530"/>
      <c r="AM2" s="1530"/>
      <c r="AN2" s="1530"/>
      <c r="AO2" s="1530"/>
      <c r="AP2" s="1530"/>
      <c r="AQ2" s="1530"/>
      <c r="AR2" s="1530"/>
      <c r="AS2" s="1530"/>
      <c r="AT2" s="1530"/>
      <c r="AU2" s="1530"/>
      <c r="AV2" s="1530"/>
      <c r="AW2" s="1530"/>
      <c r="AX2" s="1530"/>
      <c r="AY2" s="1530"/>
      <c r="AZ2" s="1530"/>
      <c r="BA2" s="1530"/>
      <c r="BB2" s="1530"/>
      <c r="BC2" s="1530"/>
      <c r="BD2" s="1530"/>
      <c r="BE2" s="1530"/>
      <c r="BF2" s="1530"/>
      <c r="BG2" s="1530"/>
      <c r="BH2" s="1530"/>
      <c r="BI2" s="1530"/>
      <c r="BJ2" s="1530"/>
      <c r="BK2" s="1530"/>
      <c r="BL2" s="1530"/>
      <c r="BM2" s="1530"/>
      <c r="BN2" s="1530"/>
      <c r="BO2" s="1530"/>
      <c r="BP2" s="1530"/>
      <c r="BQ2" s="1530"/>
      <c r="BR2" s="1530"/>
      <c r="BS2" s="1530"/>
      <c r="BT2" s="1530"/>
      <c r="BU2" s="1530"/>
      <c r="BV2" s="1530"/>
      <c r="BW2" s="1530"/>
      <c r="BX2" s="1530"/>
      <c r="BY2" s="1530"/>
      <c r="BZ2" s="1530"/>
      <c r="CA2" s="1531"/>
    </row>
    <row r="3" spans="1:79" ht="9.75" customHeight="1">
      <c r="A3" s="1532" t="s">
        <v>1307</v>
      </c>
      <c r="B3" s="1506"/>
      <c r="C3" s="1506"/>
      <c r="D3" s="1506"/>
      <c r="E3" s="1506"/>
      <c r="F3" s="1506"/>
      <c r="G3" s="1506"/>
      <c r="H3" s="1506"/>
      <c r="I3" s="1506"/>
      <c r="J3" s="1506"/>
      <c r="K3" s="1506"/>
      <c r="L3" s="1534" t="str">
        <f>'Longitudinal Section'!I6</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M3" s="1534"/>
      <c r="N3" s="1534"/>
      <c r="O3" s="1534"/>
      <c r="P3" s="1534"/>
      <c r="Q3" s="1534"/>
      <c r="R3" s="1534"/>
      <c r="S3" s="1534"/>
      <c r="T3" s="1534"/>
      <c r="U3" s="1534"/>
      <c r="V3" s="1534"/>
      <c r="W3" s="1534"/>
      <c r="X3" s="1534"/>
      <c r="Y3" s="1534"/>
      <c r="Z3" s="1534"/>
      <c r="AA3" s="1534"/>
      <c r="AB3" s="1534"/>
      <c r="AC3" s="1534"/>
      <c r="AD3" s="1534"/>
      <c r="AE3" s="1534"/>
      <c r="AF3" s="1534"/>
      <c r="AG3" s="1534"/>
      <c r="AH3" s="1534"/>
      <c r="AI3" s="1534"/>
      <c r="AJ3" s="1534"/>
      <c r="AK3" s="1534"/>
      <c r="AL3" s="1534"/>
      <c r="AM3" s="1534"/>
      <c r="AN3" s="1534"/>
      <c r="AO3" s="1534"/>
      <c r="AP3" s="1534"/>
      <c r="AQ3" s="1534"/>
      <c r="AR3" s="1534"/>
      <c r="AS3" s="1534"/>
      <c r="AT3" s="1534"/>
      <c r="AU3" s="1534"/>
      <c r="AV3" s="1534"/>
      <c r="AW3" s="1534"/>
      <c r="AX3" s="1534"/>
      <c r="AY3" s="1534"/>
      <c r="AZ3" s="1534"/>
      <c r="BA3" s="1534"/>
      <c r="BB3" s="1534"/>
      <c r="BC3" s="1534"/>
      <c r="BD3" s="1534"/>
      <c r="BE3" s="1534"/>
      <c r="BF3" s="1534"/>
      <c r="BG3" s="1534"/>
      <c r="BH3" s="1534"/>
      <c r="BI3" s="1534"/>
      <c r="BJ3" s="1534"/>
      <c r="BK3" s="1534"/>
      <c r="BL3" s="1534"/>
      <c r="BM3" s="1534"/>
      <c r="BN3" s="1534"/>
      <c r="BO3" s="1534"/>
      <c r="BP3" s="1534"/>
      <c r="BQ3" s="1534"/>
      <c r="BR3" s="1534"/>
      <c r="BS3" s="1534"/>
      <c r="BT3" s="1534"/>
      <c r="BU3" s="1534"/>
      <c r="BV3" s="1534"/>
      <c r="BW3" s="1534"/>
      <c r="BX3" s="1534"/>
      <c r="BY3" s="1534"/>
      <c r="BZ3" s="1534"/>
      <c r="CA3" s="1535"/>
    </row>
    <row r="4" spans="1:79" ht="9.75" customHeight="1">
      <c r="A4" s="1533"/>
      <c r="B4" s="1506"/>
      <c r="C4" s="1506"/>
      <c r="D4" s="1506"/>
      <c r="E4" s="1506"/>
      <c r="F4" s="1506"/>
      <c r="G4" s="1506"/>
      <c r="H4" s="1506"/>
      <c r="I4" s="1506"/>
      <c r="J4" s="1506"/>
      <c r="K4" s="1506"/>
      <c r="L4" s="1534"/>
      <c r="M4" s="1534"/>
      <c r="N4" s="1534"/>
      <c r="O4" s="1534"/>
      <c r="P4" s="1534"/>
      <c r="Q4" s="1534"/>
      <c r="R4" s="1534"/>
      <c r="S4" s="1534"/>
      <c r="T4" s="1534"/>
      <c r="U4" s="1534"/>
      <c r="V4" s="1534"/>
      <c r="W4" s="1534"/>
      <c r="X4" s="1534"/>
      <c r="Y4" s="1534"/>
      <c r="Z4" s="1534"/>
      <c r="AA4" s="1534"/>
      <c r="AB4" s="1534"/>
      <c r="AC4" s="1534"/>
      <c r="AD4" s="1534"/>
      <c r="AE4" s="1534"/>
      <c r="AF4" s="1534"/>
      <c r="AG4" s="1534"/>
      <c r="AH4" s="1534"/>
      <c r="AI4" s="1534"/>
      <c r="AJ4" s="1534"/>
      <c r="AK4" s="1534"/>
      <c r="AL4" s="1534"/>
      <c r="AM4" s="1534"/>
      <c r="AN4" s="1534"/>
      <c r="AO4" s="1534"/>
      <c r="AP4" s="1534"/>
      <c r="AQ4" s="1534"/>
      <c r="AR4" s="1534"/>
      <c r="AS4" s="1534"/>
      <c r="AT4" s="1534"/>
      <c r="AU4" s="1534"/>
      <c r="AV4" s="1534"/>
      <c r="AW4" s="1534"/>
      <c r="AX4" s="1534"/>
      <c r="AY4" s="1534"/>
      <c r="AZ4" s="1534"/>
      <c r="BA4" s="1534"/>
      <c r="BB4" s="1534"/>
      <c r="BC4" s="1534"/>
      <c r="BD4" s="1534"/>
      <c r="BE4" s="1534"/>
      <c r="BF4" s="1534"/>
      <c r="BG4" s="1534"/>
      <c r="BH4" s="1534"/>
      <c r="BI4" s="1534"/>
      <c r="BJ4" s="1534"/>
      <c r="BK4" s="1534"/>
      <c r="BL4" s="1534"/>
      <c r="BM4" s="1534"/>
      <c r="BN4" s="1534"/>
      <c r="BO4" s="1534"/>
      <c r="BP4" s="1534"/>
      <c r="BQ4" s="1534"/>
      <c r="BR4" s="1534"/>
      <c r="BS4" s="1534"/>
      <c r="BT4" s="1534"/>
      <c r="BU4" s="1534"/>
      <c r="BV4" s="1534"/>
      <c r="BW4" s="1534"/>
      <c r="BX4" s="1534"/>
      <c r="BY4" s="1534"/>
      <c r="BZ4" s="1534"/>
      <c r="CA4" s="1535"/>
    </row>
    <row r="5" spans="1:79" ht="9.75" customHeight="1">
      <c r="A5" s="1533"/>
      <c r="B5" s="1506"/>
      <c r="C5" s="1506"/>
      <c r="D5" s="1506"/>
      <c r="E5" s="1506"/>
      <c r="F5" s="1506"/>
      <c r="G5" s="1506"/>
      <c r="H5" s="1506"/>
      <c r="I5" s="1506"/>
      <c r="J5" s="1506"/>
      <c r="K5" s="1506"/>
      <c r="L5" s="1534"/>
      <c r="M5" s="1534"/>
      <c r="N5" s="1534"/>
      <c r="O5" s="1534"/>
      <c r="P5" s="1534"/>
      <c r="Q5" s="1534"/>
      <c r="R5" s="1534"/>
      <c r="S5" s="1534"/>
      <c r="T5" s="1534"/>
      <c r="U5" s="1534"/>
      <c r="V5" s="1534"/>
      <c r="W5" s="1534"/>
      <c r="X5" s="1534"/>
      <c r="Y5" s="1534"/>
      <c r="Z5" s="1534"/>
      <c r="AA5" s="1534"/>
      <c r="AB5" s="1534"/>
      <c r="AC5" s="1534"/>
      <c r="AD5" s="1534"/>
      <c r="AE5" s="1534"/>
      <c r="AF5" s="1534"/>
      <c r="AG5" s="1534"/>
      <c r="AH5" s="1534"/>
      <c r="AI5" s="1534"/>
      <c r="AJ5" s="1534"/>
      <c r="AK5" s="1534"/>
      <c r="AL5" s="1534"/>
      <c r="AM5" s="1534"/>
      <c r="AN5" s="1534"/>
      <c r="AO5" s="1534"/>
      <c r="AP5" s="1534"/>
      <c r="AQ5" s="1534"/>
      <c r="AR5" s="1534"/>
      <c r="AS5" s="1534"/>
      <c r="AT5" s="1534"/>
      <c r="AU5" s="1534"/>
      <c r="AV5" s="1534"/>
      <c r="AW5" s="1534"/>
      <c r="AX5" s="1534"/>
      <c r="AY5" s="1534"/>
      <c r="AZ5" s="1534"/>
      <c r="BA5" s="1534"/>
      <c r="BB5" s="1534"/>
      <c r="BC5" s="1534"/>
      <c r="BD5" s="1534"/>
      <c r="BE5" s="1534"/>
      <c r="BF5" s="1534"/>
      <c r="BG5" s="1534"/>
      <c r="BH5" s="1534"/>
      <c r="BI5" s="1534"/>
      <c r="BJ5" s="1534"/>
      <c r="BK5" s="1534"/>
      <c r="BL5" s="1534"/>
      <c r="BM5" s="1534"/>
      <c r="BN5" s="1534"/>
      <c r="BO5" s="1534"/>
      <c r="BP5" s="1534"/>
      <c r="BQ5" s="1534"/>
      <c r="BR5" s="1534"/>
      <c r="BS5" s="1534"/>
      <c r="BT5" s="1534"/>
      <c r="BU5" s="1534"/>
      <c r="BV5" s="1534"/>
      <c r="BW5" s="1534"/>
      <c r="BX5" s="1534"/>
      <c r="BY5" s="1534"/>
      <c r="BZ5" s="1534"/>
      <c r="CA5" s="1535"/>
    </row>
    <row r="6" spans="1:79" ht="9.75" customHeight="1">
      <c r="A6" s="1194"/>
      <c r="B6" s="11"/>
      <c r="C6" s="11"/>
      <c r="D6" s="11"/>
      <c r="E6" s="11"/>
      <c r="F6" s="11"/>
      <c r="G6" s="11"/>
      <c r="H6" s="11"/>
      <c r="I6" s="11"/>
      <c r="J6" s="11"/>
      <c r="K6" s="11"/>
      <c r="L6" s="1534"/>
      <c r="M6" s="1534"/>
      <c r="N6" s="1534"/>
      <c r="O6" s="1534"/>
      <c r="P6" s="1534"/>
      <c r="Q6" s="1534"/>
      <c r="R6" s="1534"/>
      <c r="S6" s="1534"/>
      <c r="T6" s="1534"/>
      <c r="U6" s="1534"/>
      <c r="V6" s="1534"/>
      <c r="W6" s="1534"/>
      <c r="X6" s="1534"/>
      <c r="Y6" s="1534"/>
      <c r="Z6" s="1534"/>
      <c r="AA6" s="1534"/>
      <c r="AB6" s="1534"/>
      <c r="AC6" s="1534"/>
      <c r="AD6" s="1534"/>
      <c r="AE6" s="1534"/>
      <c r="AF6" s="1534"/>
      <c r="AG6" s="1534"/>
      <c r="AH6" s="1534"/>
      <c r="AI6" s="1534"/>
      <c r="AJ6" s="1534"/>
      <c r="AK6" s="1534"/>
      <c r="AL6" s="1534"/>
      <c r="AM6" s="1534"/>
      <c r="AN6" s="1534"/>
      <c r="AO6" s="1534"/>
      <c r="AP6" s="1534"/>
      <c r="AQ6" s="1534"/>
      <c r="AR6" s="1534"/>
      <c r="AS6" s="1534"/>
      <c r="AT6" s="1534"/>
      <c r="AU6" s="1534"/>
      <c r="AV6" s="1534"/>
      <c r="AW6" s="1534"/>
      <c r="AX6" s="1534"/>
      <c r="AY6" s="1534"/>
      <c r="AZ6" s="1534"/>
      <c r="BA6" s="1534"/>
      <c r="BB6" s="1534"/>
      <c r="BC6" s="1534"/>
      <c r="BD6" s="1534"/>
      <c r="BE6" s="1534"/>
      <c r="BF6" s="1534"/>
      <c r="BG6" s="1534"/>
      <c r="BH6" s="1534"/>
      <c r="BI6" s="1534"/>
      <c r="BJ6" s="1534"/>
      <c r="BK6" s="1534"/>
      <c r="BL6" s="1534"/>
      <c r="BM6" s="1534"/>
      <c r="BN6" s="1534"/>
      <c r="BO6" s="1534"/>
      <c r="BP6" s="1534"/>
      <c r="BQ6" s="1534"/>
      <c r="BR6" s="1534"/>
      <c r="BS6" s="1534"/>
      <c r="BT6" s="1534"/>
      <c r="BU6" s="1534"/>
      <c r="BV6" s="1534"/>
      <c r="BW6" s="1534"/>
      <c r="BX6" s="1534"/>
      <c r="BY6" s="1534"/>
      <c r="BZ6" s="1534"/>
      <c r="CA6" s="1535"/>
    </row>
    <row r="7" spans="1:79" ht="9.75" customHeight="1">
      <c r="A7" s="1194"/>
      <c r="B7" s="11"/>
      <c r="C7" s="11"/>
      <c r="D7" s="11"/>
      <c r="E7" s="11"/>
      <c r="F7" s="11"/>
      <c r="G7" s="11"/>
      <c r="H7" s="11"/>
      <c r="I7" s="11"/>
      <c r="J7" s="11"/>
      <c r="K7" s="11"/>
      <c r="L7" s="1534"/>
      <c r="M7" s="1534"/>
      <c r="N7" s="1534"/>
      <c r="O7" s="1534"/>
      <c r="P7" s="1534"/>
      <c r="Q7" s="1534"/>
      <c r="R7" s="1534"/>
      <c r="S7" s="1534"/>
      <c r="T7" s="1534"/>
      <c r="U7" s="1534"/>
      <c r="V7" s="1534"/>
      <c r="W7" s="1534"/>
      <c r="X7" s="1534"/>
      <c r="Y7" s="1534"/>
      <c r="Z7" s="1534"/>
      <c r="AA7" s="1534"/>
      <c r="AB7" s="1534"/>
      <c r="AC7" s="1534"/>
      <c r="AD7" s="1534"/>
      <c r="AE7" s="1534"/>
      <c r="AF7" s="1534"/>
      <c r="AG7" s="1534"/>
      <c r="AH7" s="1534"/>
      <c r="AI7" s="1534"/>
      <c r="AJ7" s="1534"/>
      <c r="AK7" s="1534"/>
      <c r="AL7" s="1534"/>
      <c r="AM7" s="1534"/>
      <c r="AN7" s="1534"/>
      <c r="AO7" s="1534"/>
      <c r="AP7" s="1534"/>
      <c r="AQ7" s="1534"/>
      <c r="AR7" s="1534"/>
      <c r="AS7" s="1534"/>
      <c r="AT7" s="1534"/>
      <c r="AU7" s="1534"/>
      <c r="AV7" s="1534"/>
      <c r="AW7" s="1534"/>
      <c r="AX7" s="1534"/>
      <c r="AY7" s="1534"/>
      <c r="AZ7" s="1534"/>
      <c r="BA7" s="1534"/>
      <c r="BB7" s="1534"/>
      <c r="BC7" s="1534"/>
      <c r="BD7" s="1534"/>
      <c r="BE7" s="1534"/>
      <c r="BF7" s="1534"/>
      <c r="BG7" s="1534"/>
      <c r="BH7" s="1534"/>
      <c r="BI7" s="1534"/>
      <c r="BJ7" s="1534"/>
      <c r="BK7" s="1534"/>
      <c r="BL7" s="1534"/>
      <c r="BM7" s="1534"/>
      <c r="BN7" s="1534"/>
      <c r="BO7" s="1534"/>
      <c r="BP7" s="1534"/>
      <c r="BQ7" s="1534"/>
      <c r="BR7" s="1534"/>
      <c r="BS7" s="1534"/>
      <c r="BT7" s="1534"/>
      <c r="BU7" s="1534"/>
      <c r="BV7" s="1534"/>
      <c r="BW7" s="1534"/>
      <c r="BX7" s="1534"/>
      <c r="BY7" s="1534"/>
      <c r="BZ7" s="1534"/>
      <c r="CA7" s="1535"/>
    </row>
    <row r="8" spans="1:79" ht="9.75" customHeight="1">
      <c r="A8" s="1194"/>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95"/>
    </row>
    <row r="9" spans="1:79" ht="9.75" customHeight="1">
      <c r="A9" s="1194"/>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95"/>
    </row>
    <row r="10" spans="1:79" ht="9.75" customHeight="1">
      <c r="A10" s="1194"/>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95"/>
    </row>
    <row r="11" spans="1:79" ht="9.75" customHeight="1">
      <c r="A11" s="1194"/>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95"/>
    </row>
    <row r="12" spans="1:79" ht="9.75" customHeight="1">
      <c r="A12" s="1536" t="s">
        <v>1294</v>
      </c>
      <c r="B12" s="1537"/>
      <c r="C12" s="1537"/>
      <c r="D12" s="1537"/>
      <c r="E12" s="1537"/>
      <c r="F12" s="1537"/>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95"/>
    </row>
    <row r="13" spans="1:79" ht="9.75" customHeight="1">
      <c r="A13" s="1536"/>
      <c r="B13" s="1537"/>
      <c r="C13" s="1537"/>
      <c r="D13" s="1537"/>
      <c r="E13" s="1537"/>
      <c r="F13" s="1537"/>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95"/>
    </row>
    <row r="14" spans="1:79" ht="9.75" customHeight="1" thickBot="1">
      <c r="A14" s="1536"/>
      <c r="B14" s="1537"/>
      <c r="C14" s="1537"/>
      <c r="D14" s="1537"/>
      <c r="E14" s="1537"/>
      <c r="F14" s="1537"/>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95"/>
    </row>
    <row r="15" spans="1:79" ht="9.75" customHeight="1">
      <c r="A15" s="1194"/>
      <c r="B15" s="11"/>
      <c r="C15" s="11"/>
      <c r="D15" s="1192"/>
      <c r="E15" s="1192"/>
      <c r="F15" s="1192"/>
      <c r="G15" s="1192"/>
      <c r="H15" s="1192"/>
      <c r="I15" s="1192"/>
      <c r="J15" s="1192"/>
      <c r="K15" s="1192"/>
      <c r="L15" s="1192"/>
      <c r="M15" s="1192"/>
      <c r="N15" s="1192"/>
      <c r="O15" s="1192"/>
      <c r="P15" s="1192"/>
      <c r="Q15" s="1192"/>
      <c r="R15" s="1192"/>
      <c r="S15" s="1192"/>
      <c r="T15" s="1192"/>
      <c r="U15" s="1192"/>
      <c r="V15" s="1192"/>
      <c r="W15" s="1192"/>
      <c r="X15" s="1192"/>
      <c r="Y15" s="1192"/>
      <c r="Z15" s="1192"/>
      <c r="AA15" s="1192"/>
      <c r="AB15" s="1192"/>
      <c r="AC15" s="1192"/>
      <c r="AD15" s="1192"/>
      <c r="AE15" s="1192"/>
      <c r="AF15" s="1192"/>
      <c r="AG15" s="1192"/>
      <c r="AH15" s="1192"/>
      <c r="AI15" s="1192"/>
      <c r="AJ15" s="1192"/>
      <c r="AK15" s="1192"/>
      <c r="AL15" s="1192"/>
      <c r="AM15" s="1192"/>
      <c r="AN15" s="1192"/>
      <c r="AO15" s="1192"/>
      <c r="AP15" s="1192"/>
      <c r="AQ15" s="1192"/>
      <c r="AR15" s="1192"/>
      <c r="AS15" s="1192"/>
      <c r="AT15" s="1192"/>
      <c r="AU15" s="1192"/>
      <c r="AV15" s="1192"/>
      <c r="AW15" s="1192"/>
      <c r="AX15" s="1192"/>
      <c r="AY15" s="1192"/>
      <c r="AZ15" s="1192"/>
      <c r="BA15" s="1192"/>
      <c r="BB15" s="1192"/>
      <c r="BC15" s="1192"/>
      <c r="BD15" s="1192"/>
      <c r="BE15" s="1192"/>
      <c r="BF15" s="1192"/>
      <c r="BG15" s="1192"/>
      <c r="BH15" s="1192"/>
      <c r="BI15" s="1192"/>
      <c r="BJ15" s="1192"/>
      <c r="BK15" s="1192"/>
      <c r="BL15" s="1192"/>
      <c r="BM15" s="1192"/>
      <c r="BN15" s="1192"/>
      <c r="BO15" s="1192"/>
      <c r="BP15" s="1192"/>
      <c r="BQ15" s="1192"/>
      <c r="BR15" s="1192"/>
      <c r="BS15" s="1192"/>
      <c r="BT15" s="1192"/>
      <c r="BU15" s="1192"/>
      <c r="BV15" s="1192"/>
      <c r="BW15" s="1192"/>
      <c r="BX15" s="1192"/>
      <c r="BY15" s="1192"/>
      <c r="BZ15" s="11"/>
      <c r="CA15" s="1195"/>
    </row>
    <row r="16" spans="1:79" ht="9.75" customHeight="1">
      <c r="A16" s="1194"/>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95"/>
    </row>
    <row r="17" spans="1:79" ht="9.75" customHeight="1">
      <c r="A17" s="1194"/>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95"/>
    </row>
    <row r="18" spans="1:79" ht="9.75" customHeight="1">
      <c r="A18" s="1194"/>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505" t="s">
        <v>1315</v>
      </c>
      <c r="AG18" s="1505"/>
      <c r="AH18" s="1505"/>
      <c r="AI18" s="1505"/>
      <c r="AJ18" s="1505"/>
      <c r="AK18" s="1505"/>
      <c r="AL18" s="1505"/>
      <c r="AM18" s="1505"/>
      <c r="AN18" s="1505"/>
      <c r="AO18" s="1505"/>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95"/>
    </row>
    <row r="19" spans="1:79" ht="9.75" customHeight="1">
      <c r="A19" s="1194"/>
      <c r="B19" s="1204"/>
      <c r="C19" s="1204"/>
      <c r="D19" s="1204"/>
      <c r="E19" s="1204"/>
      <c r="F19" s="1204"/>
      <c r="G19" s="1204"/>
      <c r="H19" s="1204"/>
      <c r="I19" s="1204"/>
      <c r="J19" s="1204"/>
      <c r="K19" s="1204"/>
      <c r="L19" s="1204"/>
      <c r="M19" s="1204"/>
      <c r="N19" s="1204"/>
      <c r="O19" s="1204"/>
      <c r="P19" s="1204"/>
      <c r="Q19" s="1204"/>
      <c r="R19" s="1204"/>
      <c r="S19" s="1204"/>
      <c r="T19" s="1204"/>
      <c r="U19" s="1204"/>
      <c r="V19" s="1204"/>
      <c r="W19" s="1204"/>
      <c r="X19" s="1204"/>
      <c r="Y19" s="1204"/>
      <c r="Z19" s="1204"/>
      <c r="AA19" s="1204"/>
      <c r="AB19" s="1204"/>
      <c r="AC19" s="1204"/>
      <c r="AD19" s="1204"/>
      <c r="AE19" s="1204"/>
      <c r="AF19" s="1204"/>
      <c r="AG19" s="1204"/>
      <c r="AH19" s="1204"/>
      <c r="AI19" s="1204"/>
      <c r="AJ19" s="1204"/>
      <c r="AK19" s="1204"/>
      <c r="AL19" s="1204"/>
      <c r="AM19" s="1204"/>
      <c r="AN19" s="1204"/>
      <c r="AO19" s="1204"/>
      <c r="AP19" s="1204"/>
      <c r="AQ19" s="1204"/>
      <c r="AR19" s="1204"/>
      <c r="AS19" s="1204"/>
      <c r="AT19" s="1204"/>
      <c r="AU19" s="1204"/>
      <c r="AV19" s="1204"/>
      <c r="AW19" s="1204"/>
      <c r="AX19" s="1204"/>
      <c r="AY19" s="1204"/>
      <c r="AZ19" s="1204"/>
      <c r="BA19" s="1204"/>
      <c r="BB19" s="1204"/>
      <c r="BC19" s="1204"/>
      <c r="BD19" s="1204"/>
      <c r="BE19" s="1204"/>
      <c r="BF19" s="1204"/>
      <c r="BG19" s="1204"/>
      <c r="BH19" s="1204"/>
      <c r="BI19" s="1204"/>
      <c r="BJ19" s="1204"/>
      <c r="BK19" s="1204"/>
      <c r="BL19" s="1204"/>
      <c r="BM19" s="1204"/>
      <c r="BN19" s="1204"/>
      <c r="BO19" s="1204"/>
      <c r="BP19" s="1204"/>
      <c r="BQ19" s="1204"/>
      <c r="BR19" s="1204"/>
      <c r="BS19" s="1204"/>
      <c r="BT19" s="1204"/>
      <c r="BU19" s="1204"/>
      <c r="BV19" s="1204"/>
      <c r="BW19" s="1204"/>
      <c r="BX19" s="11"/>
      <c r="BY19" s="11"/>
      <c r="BZ19" s="11"/>
      <c r="CA19" s="1195"/>
    </row>
    <row r="20" spans="1:79" ht="9.75" customHeight="1" thickBot="1">
      <c r="A20" s="1194"/>
      <c r="B20" s="11"/>
      <c r="C20" s="11"/>
      <c r="D20" s="1197"/>
      <c r="E20" s="11"/>
      <c r="F20" s="11"/>
      <c r="G20" s="1197"/>
      <c r="H20" s="1197"/>
      <c r="I20" s="1197"/>
      <c r="J20" s="1197"/>
      <c r="K20" s="1197"/>
      <c r="L20" s="11"/>
      <c r="M20" s="11"/>
      <c r="N20" s="1197"/>
      <c r="O20" s="1197"/>
      <c r="P20" s="1197"/>
      <c r="Q20" s="1197"/>
      <c r="R20" s="1197"/>
      <c r="S20" s="1197"/>
      <c r="T20" s="1197"/>
      <c r="U20" s="1197"/>
      <c r="V20" s="11"/>
      <c r="W20" s="11"/>
      <c r="X20" s="1197"/>
      <c r="Y20" s="1197"/>
      <c r="Z20" s="1197"/>
      <c r="AA20" s="1197"/>
      <c r="AB20" s="1197"/>
      <c r="AC20" s="1197"/>
      <c r="AD20" s="1197"/>
      <c r="AE20" s="1197"/>
      <c r="AF20" s="1197"/>
      <c r="AG20" s="1197"/>
      <c r="AH20" s="1197"/>
      <c r="AI20" s="1197"/>
      <c r="AJ20" s="11"/>
      <c r="AK20" s="11"/>
      <c r="AL20" s="1197"/>
      <c r="AM20" s="1197"/>
      <c r="AN20" s="1197"/>
      <c r="AO20" s="11"/>
      <c r="AP20" s="11"/>
      <c r="AQ20" s="1197"/>
      <c r="AR20" s="1197"/>
      <c r="AS20" s="1197"/>
      <c r="AT20" s="11"/>
      <c r="AU20" s="11"/>
      <c r="AV20" s="1197"/>
      <c r="AW20" s="1197"/>
      <c r="AX20" s="1197"/>
      <c r="AY20" s="11"/>
      <c r="AZ20" s="11"/>
      <c r="BA20" s="1197"/>
      <c r="BB20" s="1197"/>
      <c r="BC20" s="1197"/>
      <c r="BD20" s="11"/>
      <c r="BE20" s="11"/>
      <c r="BF20" s="1197"/>
      <c r="BG20" s="1197"/>
      <c r="BH20" s="1197"/>
      <c r="BI20" s="11"/>
      <c r="BJ20" s="11"/>
      <c r="BK20" s="1197"/>
      <c r="BL20" s="1197"/>
      <c r="BM20" s="1197"/>
      <c r="BN20" s="11"/>
      <c r="BO20" s="11"/>
      <c r="BP20" s="1197"/>
      <c r="BQ20" s="1197"/>
      <c r="BR20" s="1197"/>
      <c r="BS20" s="11"/>
      <c r="BT20" s="11"/>
      <c r="BU20" s="1197"/>
      <c r="BV20" s="1197"/>
      <c r="BW20" s="1197"/>
      <c r="BX20" s="1197"/>
      <c r="BY20" s="1197"/>
      <c r="BZ20" s="11"/>
      <c r="CA20" s="1195"/>
    </row>
    <row r="21" spans="1:79" ht="9.75" customHeight="1">
      <c r="A21" s="1194"/>
      <c r="B21" s="11"/>
      <c r="C21" s="11"/>
      <c r="D21" s="11"/>
      <c r="E21" s="10"/>
      <c r="F21" s="12"/>
      <c r="G21" s="11"/>
      <c r="H21" s="11"/>
      <c r="I21" s="11"/>
      <c r="J21" s="11"/>
      <c r="K21" s="11"/>
      <c r="L21" s="10"/>
      <c r="M21" s="12"/>
      <c r="N21" s="11"/>
      <c r="O21" s="11"/>
      <c r="P21" s="11"/>
      <c r="Q21" s="11"/>
      <c r="R21" s="11"/>
      <c r="S21" s="11"/>
      <c r="T21" s="11"/>
      <c r="U21" s="11"/>
      <c r="V21" s="10"/>
      <c r="W21" s="12"/>
      <c r="X21" s="11"/>
      <c r="Y21" s="11"/>
      <c r="Z21" s="11"/>
      <c r="AA21" s="11"/>
      <c r="AB21" s="11"/>
      <c r="AC21" s="11"/>
      <c r="AD21" s="11"/>
      <c r="AE21" s="11"/>
      <c r="AF21" s="11"/>
      <c r="AG21" s="11"/>
      <c r="AH21" s="11"/>
      <c r="AI21" s="11"/>
      <c r="AJ21" s="10"/>
      <c r="AK21" s="12"/>
      <c r="AL21" s="1204"/>
      <c r="AM21" s="11"/>
      <c r="AN21" s="1204"/>
      <c r="AO21" s="10"/>
      <c r="AP21" s="12"/>
      <c r="AQ21" s="1204"/>
      <c r="AR21" s="11"/>
      <c r="AS21" s="1204"/>
      <c r="AT21" s="10"/>
      <c r="AU21" s="12"/>
      <c r="AV21" s="1204"/>
      <c r="AW21" s="11"/>
      <c r="AX21" s="1204"/>
      <c r="AY21" s="10"/>
      <c r="AZ21" s="12"/>
      <c r="BA21" s="1204"/>
      <c r="BB21" s="11"/>
      <c r="BC21" s="1204"/>
      <c r="BD21" s="10"/>
      <c r="BE21" s="12"/>
      <c r="BF21" s="1204"/>
      <c r="BG21" s="11"/>
      <c r="BH21" s="1204"/>
      <c r="BI21" s="10"/>
      <c r="BJ21" s="12"/>
      <c r="BK21" s="1204"/>
      <c r="BL21" s="11"/>
      <c r="BM21" s="1204"/>
      <c r="BN21" s="10"/>
      <c r="BO21" s="12"/>
      <c r="BP21" s="1204"/>
      <c r="BQ21" s="11"/>
      <c r="BR21" s="1204"/>
      <c r="BS21" s="10"/>
      <c r="BT21" s="12"/>
      <c r="BU21" s="1204"/>
      <c r="BV21" s="11"/>
      <c r="BW21" s="1204"/>
      <c r="BX21" s="11"/>
      <c r="BY21" s="11"/>
      <c r="BZ21" s="11"/>
      <c r="CA21" s="1195"/>
    </row>
    <row r="22" spans="1:79" ht="9.75" customHeight="1">
      <c r="A22" s="1194"/>
      <c r="B22" s="11"/>
      <c r="C22" s="11"/>
      <c r="D22" s="11"/>
      <c r="E22" s="10"/>
      <c r="F22" s="12"/>
      <c r="G22" s="11"/>
      <c r="H22" s="11"/>
      <c r="I22" s="11"/>
      <c r="J22" s="11"/>
      <c r="K22" s="11"/>
      <c r="L22" s="10"/>
      <c r="M22" s="12"/>
      <c r="N22" s="11"/>
      <c r="O22" s="11"/>
      <c r="P22" s="11"/>
      <c r="Q22" s="11"/>
      <c r="R22" s="11"/>
      <c r="S22" s="11"/>
      <c r="T22" s="11"/>
      <c r="U22" s="11"/>
      <c r="V22" s="10"/>
      <c r="W22" s="12"/>
      <c r="X22" s="11"/>
      <c r="Y22" s="11"/>
      <c r="Z22" s="11"/>
      <c r="AA22" s="11"/>
      <c r="AB22" s="11"/>
      <c r="AC22" s="11"/>
      <c r="AD22" s="11"/>
      <c r="AE22" s="11"/>
      <c r="AF22" s="11"/>
      <c r="AG22" s="11"/>
      <c r="AH22" s="11"/>
      <c r="AI22" s="11"/>
      <c r="AJ22" s="10"/>
      <c r="AK22" s="12"/>
      <c r="AL22" s="11"/>
      <c r="AM22" s="11"/>
      <c r="AN22" s="11"/>
      <c r="AO22" s="10"/>
      <c r="AP22" s="12"/>
      <c r="AQ22" s="11"/>
      <c r="AR22" s="11"/>
      <c r="AS22" s="11"/>
      <c r="AT22" s="10"/>
      <c r="AU22" s="12"/>
      <c r="AV22" s="11"/>
      <c r="AW22" s="11"/>
      <c r="AX22" s="11"/>
      <c r="AY22" s="10"/>
      <c r="AZ22" s="12"/>
      <c r="BA22" s="11"/>
      <c r="BB22" s="11"/>
      <c r="BC22" s="11"/>
      <c r="BD22" s="10"/>
      <c r="BE22" s="12"/>
      <c r="BF22" s="11"/>
      <c r="BG22" s="11"/>
      <c r="BH22" s="11"/>
      <c r="BI22" s="10"/>
      <c r="BJ22" s="12"/>
      <c r="BK22" s="11"/>
      <c r="BL22" s="11"/>
      <c r="BM22" s="11"/>
      <c r="BN22" s="10"/>
      <c r="BO22" s="12"/>
      <c r="BP22" s="11"/>
      <c r="BQ22" s="11"/>
      <c r="BR22" s="11"/>
      <c r="BS22" s="10"/>
      <c r="BT22" s="12"/>
      <c r="BU22" s="11"/>
      <c r="BV22" s="11"/>
      <c r="BW22" s="11"/>
      <c r="BX22" s="11"/>
      <c r="BY22" s="11"/>
      <c r="BZ22" s="11"/>
      <c r="CA22" s="1195"/>
    </row>
    <row r="23" spans="1:79" ht="9.75" customHeight="1">
      <c r="A23" s="1194"/>
      <c r="B23" s="11"/>
      <c r="C23" s="11"/>
      <c r="D23" s="11"/>
      <c r="E23" s="10"/>
      <c r="F23" s="12"/>
      <c r="G23" s="11"/>
      <c r="H23" s="11"/>
      <c r="I23" s="11"/>
      <c r="J23" s="11"/>
      <c r="K23" s="11"/>
      <c r="L23" s="10"/>
      <c r="M23" s="12"/>
      <c r="N23" s="11"/>
      <c r="O23" s="11"/>
      <c r="P23" s="11"/>
      <c r="Q23" s="11"/>
      <c r="R23" s="11"/>
      <c r="S23" s="11"/>
      <c r="T23" s="11"/>
      <c r="U23" s="11"/>
      <c r="V23" s="10"/>
      <c r="W23" s="12"/>
      <c r="X23" s="11"/>
      <c r="Y23" s="11"/>
      <c r="Z23" s="11"/>
      <c r="AA23" s="11"/>
      <c r="AB23" s="11"/>
      <c r="AC23" s="11"/>
      <c r="AD23" s="11"/>
      <c r="AE23" s="11"/>
      <c r="AF23" s="11"/>
      <c r="AG23" s="11"/>
      <c r="AH23" s="11"/>
      <c r="AI23" s="11"/>
      <c r="AJ23" s="10"/>
      <c r="AK23" s="12"/>
      <c r="AL23" s="1204"/>
      <c r="AM23" s="11"/>
      <c r="AN23" s="1204"/>
      <c r="AO23" s="10"/>
      <c r="AP23" s="12"/>
      <c r="AQ23" s="1204"/>
      <c r="AR23" s="11"/>
      <c r="AS23" s="1204"/>
      <c r="AT23" s="10"/>
      <c r="AU23" s="12"/>
      <c r="AV23" s="1204"/>
      <c r="AW23" s="11"/>
      <c r="AX23" s="1204"/>
      <c r="AY23" s="10"/>
      <c r="AZ23" s="12"/>
      <c r="BA23" s="1204"/>
      <c r="BB23" s="11"/>
      <c r="BC23" s="1204"/>
      <c r="BD23" s="10"/>
      <c r="BE23" s="12"/>
      <c r="BF23" s="1204"/>
      <c r="BG23" s="11"/>
      <c r="BH23" s="1204"/>
      <c r="BI23" s="10"/>
      <c r="BJ23" s="12"/>
      <c r="BK23" s="1204"/>
      <c r="BL23" s="11"/>
      <c r="BM23" s="1204"/>
      <c r="BN23" s="10"/>
      <c r="BO23" s="12"/>
      <c r="BP23" s="1204"/>
      <c r="BQ23" s="11"/>
      <c r="BR23" s="1204"/>
      <c r="BS23" s="10"/>
      <c r="BT23" s="12"/>
      <c r="BU23" s="1204"/>
      <c r="BV23" s="11"/>
      <c r="BW23" s="1204"/>
      <c r="BX23" s="11"/>
      <c r="BY23" s="11"/>
      <c r="BZ23" s="11"/>
      <c r="CA23" s="1195"/>
    </row>
    <row r="24" spans="1:79" ht="9.75" customHeight="1">
      <c r="A24" s="1194"/>
      <c r="B24" s="11"/>
      <c r="C24" s="11"/>
      <c r="D24" s="11"/>
      <c r="E24" s="10"/>
      <c r="F24" s="12"/>
      <c r="G24" s="11"/>
      <c r="H24" s="11"/>
      <c r="I24" s="11"/>
      <c r="J24" s="11"/>
      <c r="K24" s="11"/>
      <c r="L24" s="10"/>
      <c r="M24" s="12"/>
      <c r="N24" s="11"/>
      <c r="O24" s="11"/>
      <c r="P24" s="11"/>
      <c r="Q24" s="11"/>
      <c r="R24" s="11"/>
      <c r="S24" s="11"/>
      <c r="T24" s="11"/>
      <c r="U24" s="11"/>
      <c r="V24" s="10"/>
      <c r="W24" s="12"/>
      <c r="X24" s="11"/>
      <c r="Y24" s="11"/>
      <c r="Z24" s="11"/>
      <c r="AA24" s="11"/>
      <c r="AB24" s="11"/>
      <c r="AC24" s="11"/>
      <c r="AD24" s="11"/>
      <c r="AE24" s="11"/>
      <c r="AF24" s="11"/>
      <c r="AG24" s="11"/>
      <c r="AH24" s="11"/>
      <c r="AI24" s="11"/>
      <c r="AJ24" s="10"/>
      <c r="AK24" s="12"/>
      <c r="AL24" s="11"/>
      <c r="AM24" s="11"/>
      <c r="AN24" s="11"/>
      <c r="AO24" s="10"/>
      <c r="AP24" s="12"/>
      <c r="AQ24" s="11"/>
      <c r="AR24" s="11"/>
      <c r="AS24" s="11"/>
      <c r="AT24" s="10"/>
      <c r="AU24" s="12"/>
      <c r="AV24" s="11"/>
      <c r="AW24" s="11"/>
      <c r="AX24" s="11"/>
      <c r="AY24" s="10"/>
      <c r="AZ24" s="12"/>
      <c r="BA24" s="11"/>
      <c r="BB24" s="11"/>
      <c r="BC24" s="11"/>
      <c r="BD24" s="10"/>
      <c r="BE24" s="12"/>
      <c r="BF24" s="11"/>
      <c r="BG24" s="11"/>
      <c r="BH24" s="11"/>
      <c r="BI24" s="10"/>
      <c r="BJ24" s="12"/>
      <c r="BK24" s="11"/>
      <c r="BL24" s="11"/>
      <c r="BM24" s="11"/>
      <c r="BN24" s="10"/>
      <c r="BO24" s="12"/>
      <c r="BP24" s="11"/>
      <c r="BQ24" s="11"/>
      <c r="BR24" s="11"/>
      <c r="BS24" s="10"/>
      <c r="BT24" s="12"/>
      <c r="BU24" s="11"/>
      <c r="BV24" s="11"/>
      <c r="BW24" s="11"/>
      <c r="BX24" s="11"/>
      <c r="BY24" s="11"/>
      <c r="BZ24" s="11"/>
      <c r="CA24" s="1195"/>
    </row>
    <row r="25" spans="1:79" ht="9.75" customHeight="1">
      <c r="A25" s="1194"/>
      <c r="B25" s="11"/>
      <c r="C25" s="11"/>
      <c r="D25" s="11"/>
      <c r="E25" s="13"/>
      <c r="F25" s="15"/>
      <c r="G25" s="11"/>
      <c r="H25" s="11"/>
      <c r="I25" s="11"/>
      <c r="J25" s="11"/>
      <c r="K25" s="11"/>
      <c r="L25" s="10"/>
      <c r="M25" s="12"/>
      <c r="N25" s="11"/>
      <c r="O25" s="11"/>
      <c r="P25" s="11"/>
      <c r="Q25" s="11"/>
      <c r="R25" s="11"/>
      <c r="S25" s="11"/>
      <c r="T25" s="11"/>
      <c r="U25" s="11"/>
      <c r="V25" s="10"/>
      <c r="W25" s="11"/>
      <c r="X25" s="8"/>
      <c r="Y25" s="8"/>
      <c r="Z25" s="8"/>
      <c r="AA25" s="8"/>
      <c r="AB25" s="8"/>
      <c r="AC25" s="8"/>
      <c r="AD25" s="8"/>
      <c r="AE25" s="8"/>
      <c r="AF25" s="8"/>
      <c r="AG25" s="8"/>
      <c r="AH25" s="8"/>
      <c r="AI25" s="8"/>
      <c r="AJ25" s="11"/>
      <c r="AK25" s="11"/>
      <c r="AL25" s="8"/>
      <c r="AM25" s="8"/>
      <c r="AN25" s="8"/>
      <c r="AO25" s="11"/>
      <c r="AP25" s="11"/>
      <c r="AQ25" s="8"/>
      <c r="AR25" s="8"/>
      <c r="AS25" s="8"/>
      <c r="AT25" s="11"/>
      <c r="AU25" s="11"/>
      <c r="AV25" s="8"/>
      <c r="AW25" s="8"/>
      <c r="AX25" s="8"/>
      <c r="AY25" s="11"/>
      <c r="AZ25" s="11"/>
      <c r="BA25" s="8"/>
      <c r="BB25" s="8"/>
      <c r="BC25" s="8"/>
      <c r="BD25" s="11"/>
      <c r="BE25" s="11"/>
      <c r="BF25" s="8"/>
      <c r="BG25" s="8"/>
      <c r="BH25" s="8"/>
      <c r="BI25" s="11"/>
      <c r="BJ25" s="11"/>
      <c r="BK25" s="8"/>
      <c r="BL25" s="8"/>
      <c r="BM25" s="8"/>
      <c r="BN25" s="11"/>
      <c r="BO25" s="11"/>
      <c r="BP25" s="8"/>
      <c r="BQ25" s="8"/>
      <c r="BR25" s="8"/>
      <c r="BS25" s="8"/>
      <c r="BT25" s="8"/>
      <c r="BU25" s="8"/>
      <c r="BV25" s="8"/>
      <c r="BW25" s="9"/>
      <c r="BX25" s="11"/>
      <c r="BY25" s="11"/>
      <c r="BZ25" s="11"/>
      <c r="CA25" s="1195"/>
    </row>
    <row r="26" spans="1:79" ht="9.75" customHeight="1">
      <c r="A26" s="1194"/>
      <c r="B26" s="11"/>
      <c r="C26" s="11"/>
      <c r="D26" s="1525" t="s">
        <v>1314</v>
      </c>
      <c r="E26" s="1525"/>
      <c r="F26" s="1525"/>
      <c r="G26" s="1525"/>
      <c r="H26" s="11"/>
      <c r="I26" s="11"/>
      <c r="J26" s="11"/>
      <c r="K26" s="1525" t="s">
        <v>1313</v>
      </c>
      <c r="L26" s="1525"/>
      <c r="M26" s="1525"/>
      <c r="N26" s="1525"/>
      <c r="O26" s="11"/>
      <c r="P26" s="11"/>
      <c r="Q26" s="11"/>
      <c r="R26" s="11"/>
      <c r="S26" s="11"/>
      <c r="T26" s="11"/>
      <c r="U26" s="11"/>
      <c r="V26" s="10"/>
      <c r="W26" s="11"/>
      <c r="X26" s="14"/>
      <c r="Y26" s="14"/>
      <c r="Z26" s="11"/>
      <c r="AA26" s="11"/>
      <c r="AB26" s="14"/>
      <c r="AC26" s="14"/>
      <c r="AD26" s="14"/>
      <c r="AE26" s="11"/>
      <c r="AF26" s="11"/>
      <c r="AG26" s="14"/>
      <c r="AH26" s="14"/>
      <c r="AI26" s="14"/>
      <c r="AJ26" s="11"/>
      <c r="AK26" s="11"/>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1"/>
      <c r="BO26" s="11"/>
      <c r="BP26" s="14"/>
      <c r="BQ26" s="14"/>
      <c r="BR26" s="14"/>
      <c r="BS26" s="11"/>
      <c r="BT26" s="11"/>
      <c r="BU26" s="14"/>
      <c r="BV26" s="14"/>
      <c r="BW26" s="15"/>
      <c r="BX26" s="11"/>
      <c r="BY26" s="11"/>
      <c r="BZ26" s="11"/>
      <c r="CA26" s="1195"/>
    </row>
    <row r="27" spans="1:79" ht="9.75" customHeight="1">
      <c r="A27" s="1194"/>
      <c r="B27" s="11"/>
      <c r="C27" s="11"/>
      <c r="D27" s="1525"/>
      <c r="E27" s="1525"/>
      <c r="F27" s="1525"/>
      <c r="G27" s="1525"/>
      <c r="H27" s="11"/>
      <c r="I27" s="11"/>
      <c r="J27" s="11"/>
      <c r="K27" s="1525"/>
      <c r="L27" s="1525"/>
      <c r="M27" s="1525"/>
      <c r="N27" s="1525"/>
      <c r="O27" s="11"/>
      <c r="P27" s="11"/>
      <c r="Q27" s="11"/>
      <c r="R27" s="11"/>
      <c r="S27" s="11"/>
      <c r="T27" s="11"/>
      <c r="U27" s="11"/>
      <c r="V27" s="10"/>
      <c r="W27" s="12"/>
      <c r="X27" s="11"/>
      <c r="Y27" s="11"/>
      <c r="Z27" s="10"/>
      <c r="AA27" s="12"/>
      <c r="AB27" s="11"/>
      <c r="AC27" s="11"/>
      <c r="AD27" s="11"/>
      <c r="AE27" s="10"/>
      <c r="AF27" s="12"/>
      <c r="AG27" s="11"/>
      <c r="AH27" s="11"/>
      <c r="AI27" s="11"/>
      <c r="AJ27" s="10"/>
      <c r="AK27" s="12"/>
      <c r="AL27" s="1204"/>
      <c r="AM27" s="11"/>
      <c r="AN27" s="1204"/>
      <c r="AO27" s="10"/>
      <c r="AP27" s="12"/>
      <c r="AQ27" s="1204"/>
      <c r="AR27" s="11"/>
      <c r="AS27" s="1204"/>
      <c r="AT27" s="10"/>
      <c r="AU27" s="12"/>
      <c r="AV27" s="1204"/>
      <c r="AW27" s="11"/>
      <c r="AX27" s="1204"/>
      <c r="AY27" s="10"/>
      <c r="AZ27" s="12"/>
      <c r="BA27" s="1204"/>
      <c r="BB27" s="11"/>
      <c r="BC27" s="1204"/>
      <c r="BD27" s="10"/>
      <c r="BE27" s="12"/>
      <c r="BF27" s="1204"/>
      <c r="BG27" s="11"/>
      <c r="BH27" s="1204"/>
      <c r="BI27" s="10"/>
      <c r="BJ27" s="12"/>
      <c r="BK27" s="1204"/>
      <c r="BL27" s="11"/>
      <c r="BM27" s="1204"/>
      <c r="BN27" s="10"/>
      <c r="BO27" s="12"/>
      <c r="BP27" s="1204"/>
      <c r="BQ27" s="11"/>
      <c r="BR27" s="1204"/>
      <c r="BS27" s="10"/>
      <c r="BT27" s="11"/>
      <c r="BU27" s="1204"/>
      <c r="BV27" s="11"/>
      <c r="BW27" s="1204"/>
      <c r="BX27" s="11"/>
      <c r="BY27" s="11"/>
      <c r="BZ27" s="11"/>
      <c r="CA27" s="1195"/>
    </row>
    <row r="28" spans="1:79" ht="9.75" customHeight="1">
      <c r="A28" s="1194"/>
      <c r="B28" s="11"/>
      <c r="C28" s="11"/>
      <c r="D28" s="11"/>
      <c r="E28" s="11"/>
      <c r="F28" s="11"/>
      <c r="G28" s="11"/>
      <c r="H28" s="11"/>
      <c r="I28" s="11"/>
      <c r="J28" s="11"/>
      <c r="K28" s="11"/>
      <c r="L28" s="11"/>
      <c r="M28" s="11"/>
      <c r="N28" s="11"/>
      <c r="O28" s="11"/>
      <c r="P28" s="11"/>
      <c r="Q28" s="11"/>
      <c r="R28" s="11"/>
      <c r="S28" s="11"/>
      <c r="T28" s="11"/>
      <c r="U28" s="11"/>
      <c r="V28" s="10"/>
      <c r="W28" s="12"/>
      <c r="X28" s="11"/>
      <c r="Y28" s="11"/>
      <c r="Z28" s="10"/>
      <c r="AA28" s="12"/>
      <c r="AB28" s="11"/>
      <c r="AC28" s="11"/>
      <c r="AD28" s="11"/>
      <c r="AE28" s="10"/>
      <c r="AF28" s="12"/>
      <c r="AG28" s="11"/>
      <c r="AH28" s="11"/>
      <c r="AI28" s="11"/>
      <c r="AJ28" s="10"/>
      <c r="AK28" s="12"/>
      <c r="AL28" s="11"/>
      <c r="AM28" s="11"/>
      <c r="AN28" s="11"/>
      <c r="AO28" s="10"/>
      <c r="AP28" s="12"/>
      <c r="AQ28" s="11"/>
      <c r="AR28" s="11"/>
      <c r="AS28" s="11"/>
      <c r="AT28" s="10"/>
      <c r="AU28" s="12"/>
      <c r="AV28" s="11"/>
      <c r="AW28" s="11"/>
      <c r="AX28" s="11"/>
      <c r="AY28" s="10"/>
      <c r="AZ28" s="12"/>
      <c r="BA28" s="11"/>
      <c r="BB28" s="11"/>
      <c r="BC28" s="11"/>
      <c r="BD28" s="10"/>
      <c r="BE28" s="12"/>
      <c r="BF28" s="11"/>
      <c r="BG28" s="11"/>
      <c r="BH28" s="11"/>
      <c r="BI28" s="10"/>
      <c r="BJ28" s="12"/>
      <c r="BK28" s="11"/>
      <c r="BL28" s="11"/>
      <c r="BM28" s="11"/>
      <c r="BN28" s="10"/>
      <c r="BO28" s="12"/>
      <c r="BP28" s="11"/>
      <c r="BQ28" s="11"/>
      <c r="BR28" s="11"/>
      <c r="BS28" s="10"/>
      <c r="BT28" s="12"/>
      <c r="BU28" s="11"/>
      <c r="BV28" s="11"/>
      <c r="BW28" s="11"/>
      <c r="BX28" s="11"/>
      <c r="BY28" s="11"/>
      <c r="BZ28" s="11"/>
      <c r="CA28" s="1195"/>
    </row>
    <row r="29" spans="1:79" ht="9.75" customHeight="1">
      <c r="A29" s="1194"/>
      <c r="B29" s="11"/>
      <c r="C29" s="11"/>
      <c r="D29" s="11"/>
      <c r="E29" s="11"/>
      <c r="F29" s="11"/>
      <c r="G29" s="11"/>
      <c r="H29" s="11"/>
      <c r="I29" s="11"/>
      <c r="J29" s="11"/>
      <c r="K29" s="11"/>
      <c r="L29" s="11"/>
      <c r="M29" s="11"/>
      <c r="N29" s="11"/>
      <c r="O29" s="11"/>
      <c r="P29" s="11"/>
      <c r="Q29" s="11"/>
      <c r="R29" s="11"/>
      <c r="S29" s="11"/>
      <c r="T29" s="11"/>
      <c r="U29" s="11"/>
      <c r="V29" s="10"/>
      <c r="W29" s="12"/>
      <c r="X29" s="11"/>
      <c r="Y29" s="11"/>
      <c r="Z29" s="10"/>
      <c r="AA29" s="12"/>
      <c r="AB29" s="11"/>
      <c r="AC29" s="11"/>
      <c r="AD29" s="11"/>
      <c r="AE29" s="10"/>
      <c r="AF29" s="12"/>
      <c r="AG29" s="11"/>
      <c r="AH29" s="11"/>
      <c r="AI29" s="11"/>
      <c r="AJ29" s="10"/>
      <c r="AK29" s="12"/>
      <c r="AL29" s="1204"/>
      <c r="AM29" s="11"/>
      <c r="AN29" s="1204"/>
      <c r="AO29" s="10"/>
      <c r="AP29" s="12"/>
      <c r="AQ29" s="1204"/>
      <c r="AR29" s="11"/>
      <c r="AS29" s="1204"/>
      <c r="AT29" s="10"/>
      <c r="AU29" s="12"/>
      <c r="AV29" s="1204"/>
      <c r="AW29" s="11"/>
      <c r="AX29" s="1204"/>
      <c r="AY29" s="10"/>
      <c r="AZ29" s="12"/>
      <c r="BA29" s="1204"/>
      <c r="BB29" s="11"/>
      <c r="BC29" s="1204"/>
      <c r="BD29" s="10"/>
      <c r="BE29" s="12"/>
      <c r="BF29" s="1204"/>
      <c r="BG29" s="11"/>
      <c r="BH29" s="1204"/>
      <c r="BI29" s="10"/>
      <c r="BJ29" s="12"/>
      <c r="BK29" s="1204"/>
      <c r="BL29" s="11"/>
      <c r="BM29" s="1204"/>
      <c r="BN29" s="10"/>
      <c r="BO29" s="12"/>
      <c r="BP29" s="1204"/>
      <c r="BQ29" s="11"/>
      <c r="BR29" s="1204"/>
      <c r="BS29" s="10"/>
      <c r="BT29" s="12"/>
      <c r="BU29" s="1204"/>
      <c r="BV29" s="11"/>
      <c r="BW29" s="1204"/>
      <c r="BX29" s="11"/>
      <c r="BY29" s="11"/>
      <c r="BZ29" s="11"/>
      <c r="CA29" s="1195"/>
    </row>
    <row r="30" spans="1:79" ht="9.75" customHeight="1">
      <c r="A30" s="1194"/>
      <c r="B30" s="11"/>
      <c r="C30" s="11"/>
      <c r="D30" s="11"/>
      <c r="E30" s="11"/>
      <c r="F30" s="11"/>
      <c r="G30" s="11"/>
      <c r="H30" s="11"/>
      <c r="I30" s="11"/>
      <c r="J30" s="11"/>
      <c r="K30" s="11"/>
      <c r="L30" s="11"/>
      <c r="M30" s="11"/>
      <c r="N30" s="11"/>
      <c r="O30" s="11"/>
      <c r="P30" s="11"/>
      <c r="Q30" s="11"/>
      <c r="R30" s="11"/>
      <c r="S30" s="11"/>
      <c r="T30" s="11"/>
      <c r="U30" s="11"/>
      <c r="V30" s="10"/>
      <c r="W30" s="12"/>
      <c r="X30" s="11"/>
      <c r="Y30" s="11"/>
      <c r="Z30" s="10"/>
      <c r="AA30" s="12"/>
      <c r="AB30" s="11"/>
      <c r="AC30" s="11"/>
      <c r="AD30" s="11"/>
      <c r="AE30" s="10"/>
      <c r="AF30" s="12"/>
      <c r="AG30" s="11"/>
      <c r="AH30" s="11"/>
      <c r="AI30" s="11"/>
      <c r="AJ30" s="10"/>
      <c r="AK30" s="12"/>
      <c r="AL30" s="11"/>
      <c r="AM30" s="11"/>
      <c r="AN30" s="11"/>
      <c r="AO30" s="10"/>
      <c r="AP30" s="12"/>
      <c r="AQ30" s="11"/>
      <c r="AR30" s="11"/>
      <c r="AS30" s="11"/>
      <c r="AT30" s="10"/>
      <c r="AU30" s="12"/>
      <c r="AV30" s="11"/>
      <c r="AW30" s="11"/>
      <c r="AX30" s="11"/>
      <c r="AY30" s="10"/>
      <c r="AZ30" s="12"/>
      <c r="BA30" s="11"/>
      <c r="BB30" s="11"/>
      <c r="BC30" s="11"/>
      <c r="BD30" s="10"/>
      <c r="BE30" s="12"/>
      <c r="BF30" s="11"/>
      <c r="BG30" s="11"/>
      <c r="BH30" s="11"/>
      <c r="BI30" s="10"/>
      <c r="BJ30" s="12"/>
      <c r="BK30" s="11"/>
      <c r="BL30" s="11"/>
      <c r="BM30" s="11"/>
      <c r="BN30" s="10"/>
      <c r="BO30" s="12"/>
      <c r="BP30" s="11"/>
      <c r="BQ30" s="11"/>
      <c r="BR30" s="11"/>
      <c r="BS30" s="10"/>
      <c r="BT30" s="12"/>
      <c r="BU30" s="11"/>
      <c r="BV30" s="11"/>
      <c r="BW30" s="11"/>
      <c r="BX30" s="11"/>
      <c r="BY30" s="11"/>
      <c r="BZ30" s="11"/>
      <c r="CA30" s="1195"/>
    </row>
    <row r="31" spans="1:79" ht="9.75" customHeight="1">
      <c r="A31" s="1194"/>
      <c r="B31" s="11"/>
      <c r="C31" s="11"/>
      <c r="D31" s="11"/>
      <c r="E31" s="11"/>
      <c r="F31" s="11"/>
      <c r="G31" s="11"/>
      <c r="H31" s="11"/>
      <c r="I31" s="11"/>
      <c r="J31" s="11"/>
      <c r="K31" s="11"/>
      <c r="L31" s="11"/>
      <c r="M31" s="11"/>
      <c r="N31" s="11"/>
      <c r="O31" s="11"/>
      <c r="P31" s="11"/>
      <c r="Q31" s="11"/>
      <c r="R31" s="11"/>
      <c r="S31" s="11"/>
      <c r="T31" s="11"/>
      <c r="U31" s="11"/>
      <c r="V31" s="10"/>
      <c r="W31" s="12"/>
      <c r="X31" s="11"/>
      <c r="Y31" s="11"/>
      <c r="Z31" s="10"/>
      <c r="AA31" s="12"/>
      <c r="AB31" s="11"/>
      <c r="AC31" s="11"/>
      <c r="AD31" s="11"/>
      <c r="AE31" s="10"/>
      <c r="AF31" s="12"/>
      <c r="AG31" s="11"/>
      <c r="AH31" s="11"/>
      <c r="AI31" s="11"/>
      <c r="AJ31" s="10"/>
      <c r="AK31" s="11"/>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11"/>
      <c r="BO31" s="12"/>
      <c r="BP31" s="11"/>
      <c r="BQ31" s="11"/>
      <c r="BR31" s="11"/>
      <c r="BS31" s="11"/>
      <c r="BT31" s="11"/>
      <c r="BU31" s="11"/>
      <c r="BV31" s="11"/>
      <c r="BW31" s="11"/>
      <c r="BX31" s="11"/>
      <c r="BY31" s="11"/>
      <c r="BZ31" s="11"/>
      <c r="CA31" s="1195"/>
    </row>
    <row r="32" spans="1:79" ht="9.75" customHeight="1">
      <c r="A32" s="1194"/>
      <c r="B32" s="11"/>
      <c r="C32" s="11"/>
      <c r="D32" s="11"/>
      <c r="E32" s="11"/>
      <c r="F32" s="11"/>
      <c r="G32" s="11"/>
      <c r="H32" s="11"/>
      <c r="I32" s="11"/>
      <c r="J32" s="11"/>
      <c r="K32" s="11"/>
      <c r="L32" s="11"/>
      <c r="M32" s="11"/>
      <c r="N32" s="11"/>
      <c r="O32" s="11"/>
      <c r="P32" s="11"/>
      <c r="Q32" s="11"/>
      <c r="R32" s="11"/>
      <c r="S32" s="11"/>
      <c r="T32" s="11"/>
      <c r="U32" s="11"/>
      <c r="V32" s="10"/>
      <c r="W32" s="12"/>
      <c r="X32" s="11"/>
      <c r="Y32" s="11"/>
      <c r="Z32" s="10"/>
      <c r="AA32" s="12"/>
      <c r="AB32" s="11"/>
      <c r="AC32" s="11"/>
      <c r="AD32" s="11"/>
      <c r="AE32" s="10"/>
      <c r="AF32" s="12"/>
      <c r="AG32" s="11"/>
      <c r="AH32" s="11"/>
      <c r="AI32" s="11"/>
      <c r="AJ32" s="13"/>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1"/>
      <c r="BO32" s="12"/>
      <c r="BP32" s="11"/>
      <c r="BQ32" s="11"/>
      <c r="BR32" s="11"/>
      <c r="BS32" s="11"/>
      <c r="BT32" s="11"/>
      <c r="BU32" s="11"/>
      <c r="BV32" s="11"/>
      <c r="BW32" s="11"/>
      <c r="BX32" s="11"/>
      <c r="BY32" s="11"/>
      <c r="BZ32" s="11"/>
      <c r="CA32" s="1195"/>
    </row>
    <row r="33" spans="1:79" ht="9.75" customHeight="1">
      <c r="A33" s="1194"/>
      <c r="B33" s="11"/>
      <c r="C33" s="11"/>
      <c r="D33" s="11"/>
      <c r="E33" s="11"/>
      <c r="F33" s="11"/>
      <c r="G33" s="11"/>
      <c r="H33" s="11"/>
      <c r="I33" s="11"/>
      <c r="J33" s="11"/>
      <c r="K33" s="11"/>
      <c r="L33" s="11"/>
      <c r="M33" s="11"/>
      <c r="N33" s="11"/>
      <c r="O33" s="11"/>
      <c r="P33" s="11"/>
      <c r="Q33" s="11"/>
      <c r="R33" s="11"/>
      <c r="S33" s="11"/>
      <c r="T33" s="11"/>
      <c r="U33" s="11"/>
      <c r="V33" s="10"/>
      <c r="W33" s="12"/>
      <c r="X33" s="11"/>
      <c r="Y33" s="11"/>
      <c r="Z33" s="10"/>
      <c r="AA33" s="12"/>
      <c r="AB33" s="11"/>
      <c r="AC33" s="11"/>
      <c r="AD33" s="11"/>
      <c r="AE33" s="10"/>
      <c r="AF33" s="12"/>
      <c r="AG33" s="11"/>
      <c r="AH33" s="11"/>
      <c r="AI33" s="11"/>
      <c r="AJ33" s="7"/>
      <c r="AK33" s="9"/>
      <c r="AL33" s="1204"/>
      <c r="AM33" s="11"/>
      <c r="AN33" s="1204"/>
      <c r="AO33" s="7"/>
      <c r="AP33" s="9"/>
      <c r="AQ33" s="1204"/>
      <c r="AR33" s="11"/>
      <c r="AS33" s="1204"/>
      <c r="AT33" s="7"/>
      <c r="AU33" s="9"/>
      <c r="AV33" s="1204"/>
      <c r="AW33" s="11"/>
      <c r="AX33" s="1204"/>
      <c r="AY33" s="7"/>
      <c r="AZ33" s="9"/>
      <c r="BA33" s="1204"/>
      <c r="BB33" s="11"/>
      <c r="BC33" s="1204"/>
      <c r="BD33" s="7"/>
      <c r="BE33" s="9"/>
      <c r="BF33" s="1204"/>
      <c r="BG33" s="11"/>
      <c r="BH33" s="1204"/>
      <c r="BI33" s="7"/>
      <c r="BJ33" s="9"/>
      <c r="BK33" s="1204"/>
      <c r="BL33" s="11"/>
      <c r="BM33" s="1204"/>
      <c r="BN33" s="10"/>
      <c r="BO33" s="12"/>
      <c r="BP33" s="11"/>
      <c r="BQ33" s="11"/>
      <c r="BR33" s="11"/>
      <c r="BS33" s="11"/>
      <c r="BT33" s="11"/>
      <c r="BU33" s="11"/>
      <c r="BV33" s="11"/>
      <c r="BW33" s="11"/>
      <c r="BX33" s="11"/>
      <c r="BY33" s="11"/>
      <c r="BZ33" s="11"/>
      <c r="CA33" s="1195"/>
    </row>
    <row r="34" spans="1:79" ht="9.75" customHeight="1">
      <c r="A34" s="1194"/>
      <c r="B34" s="11"/>
      <c r="C34" s="11"/>
      <c r="D34" s="11"/>
      <c r="E34" s="11"/>
      <c r="F34" s="11"/>
      <c r="G34" s="11"/>
      <c r="H34" s="11"/>
      <c r="I34" s="11"/>
      <c r="J34" s="11"/>
      <c r="K34" s="11"/>
      <c r="L34" s="11"/>
      <c r="M34" s="11"/>
      <c r="N34" s="11"/>
      <c r="O34" s="11"/>
      <c r="P34" s="11"/>
      <c r="Q34" s="11"/>
      <c r="R34" s="11"/>
      <c r="S34" s="11"/>
      <c r="T34" s="11"/>
      <c r="U34" s="11"/>
      <c r="V34" s="10"/>
      <c r="W34" s="12"/>
      <c r="X34" s="11"/>
      <c r="Y34" s="11"/>
      <c r="Z34" s="10"/>
      <c r="AA34" s="12"/>
      <c r="AB34" s="11"/>
      <c r="AC34" s="11"/>
      <c r="AD34" s="11"/>
      <c r="AE34" s="10"/>
      <c r="AF34" s="12"/>
      <c r="AG34" s="11"/>
      <c r="AH34" s="11"/>
      <c r="AI34" s="11"/>
      <c r="AJ34" s="10"/>
      <c r="AK34" s="12"/>
      <c r="AL34" s="11"/>
      <c r="AM34" s="11"/>
      <c r="AN34" s="11"/>
      <c r="AO34" s="10"/>
      <c r="AP34" s="12"/>
      <c r="AQ34" s="11"/>
      <c r="AR34" s="11"/>
      <c r="AS34" s="11"/>
      <c r="AT34" s="10"/>
      <c r="AU34" s="12"/>
      <c r="AV34" s="11"/>
      <c r="AW34" s="11"/>
      <c r="AX34" s="11"/>
      <c r="AY34" s="10"/>
      <c r="AZ34" s="12"/>
      <c r="BA34" s="11"/>
      <c r="BB34" s="11"/>
      <c r="BC34" s="11"/>
      <c r="BD34" s="10"/>
      <c r="BE34" s="12"/>
      <c r="BF34" s="11"/>
      <c r="BG34" s="11"/>
      <c r="BH34" s="11"/>
      <c r="BI34" s="10"/>
      <c r="BJ34" s="12"/>
      <c r="BK34" s="11"/>
      <c r="BL34" s="11"/>
      <c r="BM34" s="11"/>
      <c r="BN34" s="10"/>
      <c r="BO34" s="12"/>
      <c r="BP34" s="11"/>
      <c r="BQ34" s="11"/>
      <c r="BR34" s="11"/>
      <c r="BS34" s="1525" t="s">
        <v>1308</v>
      </c>
      <c r="BT34" s="1525"/>
      <c r="BU34" s="1525"/>
      <c r="BV34" s="1525"/>
      <c r="BW34" s="1525"/>
      <c r="BX34" s="11"/>
      <c r="BY34" s="11"/>
      <c r="BZ34" s="11"/>
      <c r="CA34" s="1195"/>
    </row>
    <row r="35" spans="1:79" ht="9.75" customHeight="1">
      <c r="A35" s="1194"/>
      <c r="B35" s="11"/>
      <c r="C35" s="11"/>
      <c r="D35" s="11"/>
      <c r="E35" s="11"/>
      <c r="F35" s="11"/>
      <c r="G35" s="11"/>
      <c r="H35" s="11"/>
      <c r="I35" s="11"/>
      <c r="J35" s="11"/>
      <c r="K35" s="11"/>
      <c r="L35" s="11"/>
      <c r="M35" s="11"/>
      <c r="N35" s="11"/>
      <c r="O35" s="11"/>
      <c r="P35" s="11"/>
      <c r="Q35" s="11"/>
      <c r="R35" s="11"/>
      <c r="S35" s="11"/>
      <c r="T35" s="11"/>
      <c r="U35" s="11"/>
      <c r="V35" s="13"/>
      <c r="W35" s="15"/>
      <c r="X35" s="11"/>
      <c r="Y35" s="11"/>
      <c r="Z35" s="13"/>
      <c r="AA35" s="15"/>
      <c r="AB35" s="11"/>
      <c r="AC35" s="11"/>
      <c r="AD35" s="11"/>
      <c r="AE35" s="13"/>
      <c r="AF35" s="15"/>
      <c r="AG35" s="11"/>
      <c r="AH35" s="11"/>
      <c r="AI35" s="11"/>
      <c r="AJ35" s="10"/>
      <c r="AK35" s="12"/>
      <c r="AL35" s="1204"/>
      <c r="AM35" s="11"/>
      <c r="AN35" s="1204"/>
      <c r="AO35" s="10"/>
      <c r="AP35" s="12"/>
      <c r="AQ35" s="1204"/>
      <c r="AR35" s="11"/>
      <c r="AS35" s="1204"/>
      <c r="AT35" s="10"/>
      <c r="AU35" s="12"/>
      <c r="AV35" s="1204"/>
      <c r="AW35" s="11"/>
      <c r="AX35" s="1204"/>
      <c r="AY35" s="10"/>
      <c r="AZ35" s="12"/>
      <c r="BA35" s="1204"/>
      <c r="BB35" s="11"/>
      <c r="BC35" s="1204"/>
      <c r="BD35" s="10"/>
      <c r="BE35" s="12"/>
      <c r="BF35" s="1204"/>
      <c r="BG35" s="11"/>
      <c r="BH35" s="1204"/>
      <c r="BI35" s="10"/>
      <c r="BJ35" s="12"/>
      <c r="BK35" s="1204"/>
      <c r="BL35" s="11"/>
      <c r="BM35" s="1204"/>
      <c r="BN35" s="10"/>
      <c r="BO35" s="12"/>
      <c r="BP35" s="11"/>
      <c r="BQ35" s="11"/>
      <c r="BR35" s="11"/>
      <c r="BS35" s="1525"/>
      <c r="BT35" s="1525"/>
      <c r="BU35" s="1525"/>
      <c r="BV35" s="1525"/>
      <c r="BW35" s="1525"/>
      <c r="BX35" s="11"/>
      <c r="BY35" s="11"/>
      <c r="BZ35" s="11"/>
      <c r="CA35" s="1195"/>
    </row>
    <row r="36" spans="1:79" ht="9.75" customHeight="1">
      <c r="A36" s="1194"/>
      <c r="B36" s="11"/>
      <c r="C36" s="11"/>
      <c r="D36" s="11"/>
      <c r="E36" s="11"/>
      <c r="F36" s="11"/>
      <c r="G36" s="11"/>
      <c r="H36" s="11"/>
      <c r="I36" s="11"/>
      <c r="J36" s="11"/>
      <c r="K36" s="11"/>
      <c r="L36" s="11"/>
      <c r="M36" s="11"/>
      <c r="N36" s="11"/>
      <c r="O36" s="11"/>
      <c r="P36" s="11"/>
      <c r="Q36" s="11"/>
      <c r="R36" s="11"/>
      <c r="S36" s="11"/>
      <c r="T36" s="1525" t="s">
        <v>1312</v>
      </c>
      <c r="U36" s="1525"/>
      <c r="V36" s="1525"/>
      <c r="W36" s="1525"/>
      <c r="X36" s="11"/>
      <c r="Y36" s="1525" t="s">
        <v>1311</v>
      </c>
      <c r="Z36" s="1525"/>
      <c r="AA36" s="1525"/>
      <c r="AB36" s="1525"/>
      <c r="AC36" s="11"/>
      <c r="AD36" s="11"/>
      <c r="AE36" s="1525" t="s">
        <v>1310</v>
      </c>
      <c r="AF36" s="1525"/>
      <c r="AG36" s="1525"/>
      <c r="AH36" s="1525"/>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0"/>
      <c r="BO36" s="12"/>
      <c r="BP36" s="11"/>
      <c r="BQ36" s="11"/>
      <c r="BR36" s="11"/>
      <c r="BS36" s="11"/>
      <c r="BT36" s="11"/>
      <c r="BU36" s="11"/>
      <c r="BV36" s="11"/>
      <c r="BW36" s="11"/>
      <c r="BX36" s="11"/>
      <c r="BY36" s="11"/>
      <c r="BZ36" s="11"/>
      <c r="CA36" s="1195"/>
    </row>
    <row r="37" spans="1:79" ht="9.75" customHeight="1">
      <c r="A37" s="1194"/>
      <c r="B37" s="11"/>
      <c r="C37" s="11"/>
      <c r="D37" s="11"/>
      <c r="E37" s="11"/>
      <c r="F37" s="11"/>
      <c r="G37" s="11"/>
      <c r="H37" s="11"/>
      <c r="I37" s="11"/>
      <c r="J37" s="11"/>
      <c r="K37" s="11"/>
      <c r="L37" s="11"/>
      <c r="M37" s="11"/>
      <c r="N37" s="11"/>
      <c r="O37" s="11"/>
      <c r="P37" s="11"/>
      <c r="Q37" s="11"/>
      <c r="R37" s="11"/>
      <c r="S37" s="11"/>
      <c r="T37" s="1525"/>
      <c r="U37" s="1525"/>
      <c r="V37" s="1525"/>
      <c r="W37" s="1525"/>
      <c r="X37" s="11"/>
      <c r="Y37" s="1525"/>
      <c r="Z37" s="1525"/>
      <c r="AA37" s="1525"/>
      <c r="AB37" s="1525"/>
      <c r="AC37" s="11"/>
      <c r="AD37" s="11"/>
      <c r="AE37" s="1525"/>
      <c r="AF37" s="1525"/>
      <c r="AG37" s="1525"/>
      <c r="AH37" s="1525"/>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3"/>
      <c r="BO37" s="15"/>
      <c r="BP37" s="11"/>
      <c r="BQ37" s="11"/>
      <c r="BR37" s="11"/>
      <c r="BS37" s="11"/>
      <c r="BT37" s="11"/>
      <c r="BU37" s="11"/>
      <c r="BV37" s="11"/>
      <c r="BW37" s="11"/>
      <c r="BX37" s="11"/>
      <c r="BY37" s="11"/>
      <c r="BZ37" s="11"/>
      <c r="CA37" s="1195"/>
    </row>
    <row r="38" spans="1:79" ht="9.75" customHeight="1">
      <c r="A38" s="1194"/>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525" t="s">
        <v>1309</v>
      </c>
      <c r="BO38" s="1525"/>
      <c r="BP38" s="1525"/>
      <c r="BQ38" s="1525"/>
      <c r="BR38" s="11"/>
      <c r="BS38" s="11"/>
      <c r="BT38" s="11"/>
      <c r="BU38" s="11"/>
      <c r="BV38" s="11"/>
      <c r="BW38" s="11"/>
      <c r="BX38" s="11"/>
      <c r="BY38" s="11"/>
      <c r="BZ38" s="11"/>
      <c r="CA38" s="1195"/>
    </row>
    <row r="39" spans="1:79" ht="9.75" customHeight="1">
      <c r="A39" s="1194"/>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525"/>
      <c r="BO39" s="1525"/>
      <c r="BP39" s="1525"/>
      <c r="BQ39" s="1525"/>
      <c r="BR39" s="11"/>
      <c r="BS39" s="11"/>
      <c r="BT39" s="11"/>
      <c r="BU39" s="11"/>
      <c r="BV39" s="11"/>
      <c r="BW39" s="11"/>
      <c r="BX39" s="11"/>
      <c r="BY39" s="11"/>
      <c r="BZ39" s="11"/>
      <c r="CA39" s="1195"/>
    </row>
    <row r="40" spans="1:79" ht="9.75" customHeight="1">
      <c r="A40" s="1194"/>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95"/>
    </row>
    <row r="41" spans="1:79" ht="9.75" customHeight="1">
      <c r="A41" s="1194"/>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95"/>
    </row>
    <row r="42" spans="1:79" ht="9.75" customHeight="1">
      <c r="A42" s="1194"/>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95"/>
    </row>
    <row r="43" spans="1:79" ht="9.75" customHeight="1">
      <c r="A43" s="1194"/>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524" t="s">
        <v>1107</v>
      </c>
      <c r="BM43" s="1524"/>
      <c r="BN43" s="1524"/>
      <c r="BO43" s="1524"/>
      <c r="BP43" s="1524"/>
      <c r="BQ43" s="1524"/>
      <c r="BR43" s="1524"/>
      <c r="BS43" s="11"/>
      <c r="BT43" s="11"/>
      <c r="BU43" s="11"/>
      <c r="BV43" s="11"/>
      <c r="BW43" s="11"/>
      <c r="BX43" s="11"/>
      <c r="BY43" s="11"/>
      <c r="BZ43" s="11"/>
      <c r="CA43" s="1195"/>
    </row>
    <row r="44" spans="1:79" ht="9.75" customHeight="1">
      <c r="A44" s="1194"/>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524"/>
      <c r="BM44" s="1524"/>
      <c r="BN44" s="1524"/>
      <c r="BO44" s="1524"/>
      <c r="BP44" s="1524"/>
      <c r="BQ44" s="1524"/>
      <c r="BR44" s="1524"/>
      <c r="BS44" s="11"/>
      <c r="BT44" s="11"/>
      <c r="BU44" s="11"/>
      <c r="BV44" s="11"/>
      <c r="BW44" s="11"/>
      <c r="BX44" s="11"/>
      <c r="BY44" s="11"/>
      <c r="BZ44" s="11"/>
      <c r="CA44" s="1195"/>
    </row>
    <row r="45" spans="1:79" ht="9.75" customHeight="1">
      <c r="A45" s="1194"/>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95"/>
    </row>
    <row r="46" spans="1:79" ht="9.75" customHeight="1">
      <c r="A46" s="1194"/>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524" t="s">
        <v>1229</v>
      </c>
      <c r="BM46" s="1524"/>
      <c r="BN46" s="1524"/>
      <c r="BO46" s="1524"/>
      <c r="BP46" s="1524"/>
      <c r="BQ46" s="1524"/>
      <c r="BR46" s="1524"/>
      <c r="BS46" s="11"/>
      <c r="BT46" s="11"/>
      <c r="BU46" s="11"/>
      <c r="BV46" s="11"/>
      <c r="BW46" s="11"/>
      <c r="BX46" s="11"/>
      <c r="BY46" s="11"/>
      <c r="BZ46" s="11"/>
      <c r="CA46" s="1195"/>
    </row>
    <row r="47" spans="1:79" ht="9.75" customHeight="1">
      <c r="A47" s="1194"/>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524"/>
      <c r="BM47" s="1524"/>
      <c r="BN47" s="1524"/>
      <c r="BO47" s="1524"/>
      <c r="BP47" s="1524"/>
      <c r="BQ47" s="1524"/>
      <c r="BR47" s="1524"/>
      <c r="BS47" s="11"/>
      <c r="BT47" s="11"/>
      <c r="BU47" s="11"/>
      <c r="BV47" s="11"/>
      <c r="BW47" s="11"/>
      <c r="BX47" s="11"/>
      <c r="BY47" s="11"/>
      <c r="BZ47" s="11"/>
      <c r="CA47" s="1195"/>
    </row>
    <row r="48" spans="1:79" ht="9.75" customHeight="1">
      <c r="A48" s="1194"/>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95"/>
    </row>
    <row r="49" spans="1:79" ht="9.75" customHeight="1">
      <c r="A49" s="1194"/>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204"/>
      <c r="BI49" s="1204"/>
      <c r="BJ49" s="1204"/>
      <c r="BK49" s="11"/>
      <c r="BL49" s="1524" t="s">
        <v>696</v>
      </c>
      <c r="BM49" s="1524"/>
      <c r="BN49" s="1524"/>
      <c r="BO49" s="1524"/>
      <c r="BP49" s="1524"/>
      <c r="BQ49" s="1524"/>
      <c r="BR49" s="1524"/>
      <c r="BS49" s="11"/>
      <c r="BT49" s="11"/>
      <c r="BU49" s="11"/>
      <c r="BV49" s="11"/>
      <c r="BW49" s="11"/>
      <c r="BX49" s="11"/>
      <c r="BY49" s="11"/>
      <c r="BZ49" s="11"/>
      <c r="CA49" s="1195"/>
    </row>
    <row r="50" spans="1:79" ht="9.75" customHeight="1">
      <c r="A50" s="1194"/>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524"/>
      <c r="BM50" s="1524"/>
      <c r="BN50" s="1524"/>
      <c r="BO50" s="1524"/>
      <c r="BP50" s="1524"/>
      <c r="BQ50" s="1524"/>
      <c r="BR50" s="1524"/>
      <c r="BS50" s="11"/>
      <c r="BT50" s="11"/>
      <c r="BU50" s="11"/>
      <c r="BV50" s="11"/>
      <c r="BW50" s="11"/>
      <c r="BX50" s="11"/>
      <c r="BY50" s="11"/>
      <c r="BZ50" s="11"/>
      <c r="CA50" s="1195"/>
    </row>
    <row r="51" spans="1:79" ht="9.75" customHeight="1">
      <c r="A51" s="1194"/>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95"/>
    </row>
    <row r="52" spans="1:79" ht="9.75" customHeight="1">
      <c r="A52" s="1194"/>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95"/>
    </row>
    <row r="53" spans="1:79" ht="9.75" customHeight="1" thickBot="1">
      <c r="A53" s="1196"/>
      <c r="B53" s="1197"/>
      <c r="C53" s="1197"/>
      <c r="D53" s="1197"/>
      <c r="E53" s="1197"/>
      <c r="F53" s="1197"/>
      <c r="G53" s="1197"/>
      <c r="H53" s="1197"/>
      <c r="I53" s="1197"/>
      <c r="J53" s="1197"/>
      <c r="K53" s="1197"/>
      <c r="L53" s="1197"/>
      <c r="M53" s="1197"/>
      <c r="N53" s="1197"/>
      <c r="O53" s="1197"/>
      <c r="P53" s="1197"/>
      <c r="Q53" s="1197"/>
      <c r="R53" s="1197"/>
      <c r="S53" s="1197"/>
      <c r="T53" s="1197"/>
      <c r="U53" s="1197"/>
      <c r="V53" s="1197"/>
      <c r="W53" s="1197"/>
      <c r="X53" s="1197"/>
      <c r="Y53" s="1197"/>
      <c r="Z53" s="1197"/>
      <c r="AA53" s="1197"/>
      <c r="AB53" s="1197"/>
      <c r="AC53" s="1197"/>
      <c r="AD53" s="1197"/>
      <c r="AE53" s="1197"/>
      <c r="AF53" s="1197"/>
      <c r="AG53" s="1197"/>
      <c r="AH53" s="1197"/>
      <c r="AI53" s="1197"/>
      <c r="AJ53" s="1197"/>
      <c r="AK53" s="1197"/>
      <c r="AL53" s="1197"/>
      <c r="AM53" s="1197"/>
      <c r="AN53" s="1197"/>
      <c r="AO53" s="1197"/>
      <c r="AP53" s="1197"/>
      <c r="AQ53" s="1197"/>
      <c r="AR53" s="1197"/>
      <c r="AS53" s="1197"/>
      <c r="AT53" s="1197"/>
      <c r="AU53" s="1197"/>
      <c r="AV53" s="1197"/>
      <c r="AW53" s="1197"/>
      <c r="AX53" s="1197"/>
      <c r="AY53" s="1197"/>
      <c r="AZ53" s="1197"/>
      <c r="BA53" s="1197"/>
      <c r="BB53" s="1197"/>
      <c r="BC53" s="1197"/>
      <c r="BD53" s="1197"/>
      <c r="BE53" s="1197"/>
      <c r="BF53" s="1197"/>
      <c r="BG53" s="1197"/>
      <c r="BH53" s="1197"/>
      <c r="BI53" s="1197"/>
      <c r="BJ53" s="1197"/>
      <c r="BK53" s="1197"/>
      <c r="BL53" s="1197"/>
      <c r="BM53" s="1197"/>
      <c r="BN53" s="1197"/>
      <c r="BO53" s="1197"/>
      <c r="BP53" s="1197"/>
      <c r="BQ53" s="1197"/>
      <c r="BR53" s="1197"/>
      <c r="BS53" s="1197"/>
      <c r="BT53" s="1197"/>
      <c r="BU53" s="1197"/>
      <c r="BV53" s="1197"/>
      <c r="BW53" s="1197"/>
      <c r="BX53" s="1197"/>
      <c r="BY53" s="1197"/>
      <c r="BZ53" s="1197"/>
      <c r="CA53" s="1198"/>
    </row>
  </sheetData>
  <mergeCells count="15">
    <mergeCell ref="AE36:AH37"/>
    <mergeCell ref="T36:W37"/>
    <mergeCell ref="Y36:AB37"/>
    <mergeCell ref="A1:CA2"/>
    <mergeCell ref="A3:K5"/>
    <mergeCell ref="L3:CA7"/>
    <mergeCell ref="A12:F14"/>
    <mergeCell ref="K26:N27"/>
    <mergeCell ref="D26:G27"/>
    <mergeCell ref="AF18:AO18"/>
    <mergeCell ref="BL43:BR44"/>
    <mergeCell ref="BL46:BR47"/>
    <mergeCell ref="BL49:BR50"/>
    <mergeCell ref="BS34:BW35"/>
    <mergeCell ref="BN38:BQ39"/>
  </mergeCells>
  <pageMargins left="0.7" right="0.7" top="0.75" bottom="0.75" header="0.3" footer="0.3"/>
  <pageSetup scale="93" orientation="landscape" r:id="rId1"/>
  <drawing r:id="rId2"/>
</worksheet>
</file>

<file path=xl/worksheets/sheet11.xml><?xml version="1.0" encoding="utf-8"?>
<worksheet xmlns="http://schemas.openxmlformats.org/spreadsheetml/2006/main" xmlns:r="http://schemas.openxmlformats.org/officeDocument/2006/relationships">
  <dimension ref="A1:R36"/>
  <sheetViews>
    <sheetView view="pageBreakPreview" zoomScale="70" zoomScaleSheetLayoutView="70" workbookViewId="0">
      <selection sqref="A1:XFD1048576"/>
    </sheetView>
  </sheetViews>
  <sheetFormatPr defaultColWidth="7" defaultRowHeight="12.75"/>
  <cols>
    <col min="1" max="1" width="11.28515625" style="882" customWidth="1"/>
    <col min="2" max="4" width="7" style="882"/>
    <col min="5" max="5" width="7" style="882" customWidth="1"/>
    <col min="6" max="16384" width="7" style="882"/>
  </cols>
  <sheetData>
    <row r="1" spans="1:18" s="11" customFormat="1" ht="39" customHeight="1">
      <c r="A1" s="1544" t="s">
        <v>1290</v>
      </c>
      <c r="B1" s="1545"/>
      <c r="C1" s="1545"/>
      <c r="D1" s="1545"/>
      <c r="E1" s="1545"/>
      <c r="F1" s="1545"/>
      <c r="G1" s="1545"/>
      <c r="H1" s="1545"/>
      <c r="I1" s="1545"/>
      <c r="J1" s="1545"/>
      <c r="K1" s="1545"/>
      <c r="L1" s="1545"/>
      <c r="M1" s="1545"/>
      <c r="N1" s="1545"/>
      <c r="O1" s="1545"/>
      <c r="P1" s="1545"/>
      <c r="Q1" s="1545"/>
      <c r="R1" s="1546"/>
    </row>
    <row r="2" spans="1:18" s="11" customFormat="1">
      <c r="A2" s="1184"/>
      <c r="B2" s="882"/>
      <c r="C2" s="882"/>
      <c r="D2" s="882"/>
      <c r="E2" s="882"/>
      <c r="F2" s="882"/>
      <c r="G2" s="882"/>
      <c r="H2" s="882"/>
      <c r="I2" s="882"/>
      <c r="J2" s="882"/>
      <c r="K2" s="882"/>
      <c r="L2" s="882"/>
      <c r="M2" s="882"/>
      <c r="N2" s="882"/>
      <c r="O2" s="882"/>
      <c r="P2" s="882"/>
      <c r="Q2" s="882"/>
      <c r="R2" s="1185"/>
    </row>
    <row r="3" spans="1:18" s="11" customFormat="1">
      <c r="A3" s="1184"/>
      <c r="B3" s="882"/>
      <c r="C3" s="882"/>
      <c r="D3" s="882"/>
      <c r="E3" s="882"/>
      <c r="F3" s="882"/>
      <c r="G3" s="882"/>
      <c r="H3" s="882"/>
      <c r="I3" s="882"/>
      <c r="J3" s="882"/>
      <c r="K3" s="882"/>
      <c r="L3" s="882"/>
      <c r="M3" s="882"/>
      <c r="N3" s="882"/>
      <c r="O3" s="882"/>
      <c r="P3" s="882"/>
      <c r="Q3" s="882"/>
      <c r="R3" s="1185"/>
    </row>
    <row r="4" spans="1:18" s="1183" customFormat="1" ht="42.75" customHeight="1">
      <c r="A4" s="1551" t="s">
        <v>1261</v>
      </c>
      <c r="B4" s="1552"/>
      <c r="C4" s="1549" t="str">
        <f>'Final Estimate'!A2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D4" s="1549"/>
      <c r="E4" s="1549"/>
      <c r="F4" s="1549"/>
      <c r="G4" s="1549"/>
      <c r="H4" s="1549"/>
      <c r="I4" s="1549"/>
      <c r="J4" s="1549"/>
      <c r="K4" s="1549"/>
      <c r="L4" s="1549"/>
      <c r="M4" s="1549"/>
      <c r="N4" s="1549"/>
      <c r="O4" s="1549"/>
      <c r="P4" s="1549"/>
      <c r="Q4" s="1549"/>
      <c r="R4" s="1550"/>
    </row>
    <row r="5" spans="1:18" s="11" customFormat="1" ht="34.5" customHeight="1">
      <c r="A5" s="1551"/>
      <c r="B5" s="1552"/>
      <c r="C5" s="1549"/>
      <c r="D5" s="1549"/>
      <c r="E5" s="1549"/>
      <c r="F5" s="1549"/>
      <c r="G5" s="1549"/>
      <c r="H5" s="1549"/>
      <c r="I5" s="1549"/>
      <c r="J5" s="1549"/>
      <c r="K5" s="1549"/>
      <c r="L5" s="1549"/>
      <c r="M5" s="1549"/>
      <c r="N5" s="1549"/>
      <c r="O5" s="1549"/>
      <c r="P5" s="1549"/>
      <c r="Q5" s="1549"/>
      <c r="R5" s="1550"/>
    </row>
    <row r="6" spans="1:18" s="11" customFormat="1">
      <c r="A6" s="1184"/>
      <c r="B6" s="882"/>
      <c r="C6" s="1549"/>
      <c r="D6" s="1549"/>
      <c r="E6" s="1549"/>
      <c r="F6" s="1549"/>
      <c r="G6" s="1549"/>
      <c r="H6" s="1549"/>
      <c r="I6" s="1549"/>
      <c r="J6" s="1549"/>
      <c r="K6" s="1549"/>
      <c r="L6" s="1549"/>
      <c r="M6" s="1549"/>
      <c r="N6" s="1549"/>
      <c r="O6" s="1549"/>
      <c r="P6" s="1549"/>
      <c r="Q6" s="1549"/>
      <c r="R6" s="1550"/>
    </row>
    <row r="7" spans="1:18" s="11" customFormat="1">
      <c r="A7" s="1184"/>
      <c r="B7" s="882"/>
      <c r="C7" s="882"/>
      <c r="D7" s="882"/>
      <c r="E7" s="882"/>
      <c r="F7" s="882"/>
      <c r="G7" s="882"/>
      <c r="H7" s="882"/>
      <c r="I7" s="882"/>
      <c r="J7" s="882"/>
      <c r="K7" s="882"/>
      <c r="L7" s="882"/>
      <c r="M7" s="882"/>
      <c r="N7" s="882"/>
      <c r="O7" s="882"/>
      <c r="P7" s="882"/>
      <c r="Q7" s="882"/>
      <c r="R7" s="1185"/>
    </row>
    <row r="8" spans="1:18" s="11" customFormat="1">
      <c r="A8" s="1184"/>
      <c r="B8" s="882"/>
      <c r="C8" s="882"/>
      <c r="D8" s="882"/>
      <c r="E8" s="882"/>
      <c r="F8" s="882"/>
      <c r="G8" s="882"/>
      <c r="H8" s="882"/>
      <c r="I8" s="882"/>
      <c r="J8" s="882"/>
      <c r="K8" s="882"/>
      <c r="L8" s="882"/>
      <c r="M8" s="882"/>
      <c r="N8" s="882"/>
      <c r="O8" s="882"/>
      <c r="P8" s="882"/>
      <c r="Q8" s="882"/>
      <c r="R8" s="1185"/>
    </row>
    <row r="9" spans="1:18" s="11" customFormat="1">
      <c r="A9" s="1184"/>
      <c r="B9" s="882"/>
      <c r="C9" s="882"/>
      <c r="D9" s="882"/>
      <c r="E9" s="882"/>
      <c r="F9" s="882"/>
      <c r="G9" s="882"/>
      <c r="H9" s="882"/>
      <c r="I9" s="882"/>
      <c r="J9" s="882"/>
      <c r="K9" s="1181"/>
      <c r="L9" s="1540" t="s">
        <v>1293</v>
      </c>
      <c r="M9" s="1541"/>
      <c r="N9" s="882"/>
      <c r="O9" s="882"/>
      <c r="P9" s="882"/>
      <c r="Q9" s="882"/>
      <c r="R9" s="1185"/>
    </row>
    <row r="10" spans="1:18" s="11" customFormat="1">
      <c r="A10" s="1184"/>
      <c r="B10" s="882"/>
      <c r="C10" s="882"/>
      <c r="D10" s="882"/>
      <c r="E10" s="882"/>
      <c r="F10" s="882"/>
      <c r="G10" s="882"/>
      <c r="H10" s="882"/>
      <c r="I10" s="882"/>
      <c r="J10" s="882"/>
      <c r="K10" s="1181"/>
      <c r="L10" s="1540"/>
      <c r="M10" s="1541"/>
      <c r="N10" s="882"/>
      <c r="O10" s="882"/>
      <c r="P10" s="882"/>
      <c r="Q10" s="882"/>
      <c r="R10" s="1185"/>
    </row>
    <row r="11" spans="1:18" s="11" customFormat="1">
      <c r="A11" s="1184"/>
      <c r="B11" s="882"/>
      <c r="C11" s="882"/>
      <c r="D11" s="1543" t="s">
        <v>1295</v>
      </c>
      <c r="E11" s="1543"/>
      <c r="F11" s="882"/>
      <c r="G11" s="882"/>
      <c r="H11" s="882"/>
      <c r="I11" s="882"/>
      <c r="J11" s="882"/>
      <c r="K11" s="1181"/>
      <c r="L11" s="882"/>
      <c r="M11" s="882"/>
      <c r="N11" s="882"/>
      <c r="O11" s="882"/>
      <c r="P11" s="882"/>
      <c r="Q11" s="882"/>
      <c r="R11" s="1185"/>
    </row>
    <row r="12" spans="1:18" s="11" customFormat="1">
      <c r="A12" s="1542" t="s">
        <v>1294</v>
      </c>
      <c r="B12" s="882"/>
      <c r="C12" s="882"/>
      <c r="D12" s="1543"/>
      <c r="E12" s="1543"/>
      <c r="F12" s="882"/>
      <c r="G12" s="882"/>
      <c r="H12" s="882"/>
      <c r="I12" s="882"/>
      <c r="J12" s="882"/>
      <c r="K12" s="1181"/>
      <c r="L12" s="882"/>
      <c r="M12" s="882"/>
      <c r="N12" s="882"/>
      <c r="O12" s="882"/>
      <c r="P12" s="882"/>
      <c r="Q12" s="882"/>
      <c r="R12" s="1185"/>
    </row>
    <row r="13" spans="1:18" s="11" customFormat="1">
      <c r="A13" s="1542"/>
      <c r="B13" s="882"/>
      <c r="C13" s="882"/>
      <c r="D13" s="882"/>
      <c r="E13" s="882"/>
      <c r="F13" s="882"/>
      <c r="G13" s="1548" t="s">
        <v>1298</v>
      </c>
      <c r="H13" s="1548"/>
      <c r="I13" s="882"/>
      <c r="J13" s="882"/>
      <c r="K13" s="1181"/>
      <c r="L13" s="882"/>
      <c r="M13" s="882"/>
      <c r="N13" s="882"/>
      <c r="O13" s="882"/>
      <c r="P13" s="882"/>
      <c r="Q13" s="882"/>
      <c r="R13" s="1185"/>
    </row>
    <row r="14" spans="1:18" s="11" customFormat="1">
      <c r="A14" s="1184"/>
      <c r="B14" s="1189"/>
      <c r="C14" s="1189"/>
      <c r="D14" s="1189"/>
      <c r="E14" s="1189"/>
      <c r="F14" s="1189"/>
      <c r="G14" s="1189"/>
      <c r="H14" s="1189"/>
      <c r="I14" s="1189"/>
      <c r="J14" s="1189"/>
      <c r="K14" s="882"/>
      <c r="L14" s="1189"/>
      <c r="M14" s="1189"/>
      <c r="N14" s="1189"/>
      <c r="O14" s="1189"/>
      <c r="P14" s="1190"/>
      <c r="Q14" s="882"/>
      <c r="R14" s="1185"/>
    </row>
    <row r="15" spans="1:18" s="11" customFormat="1">
      <c r="A15" s="1184"/>
      <c r="B15" s="882"/>
      <c r="C15" s="882"/>
      <c r="D15" s="882"/>
      <c r="E15" s="882"/>
      <c r="F15" s="882"/>
      <c r="G15" s="1061" t="s">
        <v>1299</v>
      </c>
      <c r="H15" s="882"/>
      <c r="I15" s="882"/>
      <c r="J15" s="882"/>
      <c r="K15" s="882"/>
      <c r="L15" s="882"/>
      <c r="M15" s="882"/>
      <c r="N15" s="882"/>
      <c r="O15" s="882"/>
      <c r="P15" s="1180"/>
      <c r="Q15" s="882"/>
      <c r="R15" s="1185"/>
    </row>
    <row r="16" spans="1:18" s="11" customFormat="1">
      <c r="A16" s="1184"/>
      <c r="B16" s="1182"/>
      <c r="C16" s="1182"/>
      <c r="D16" s="1182"/>
      <c r="E16" s="1182"/>
      <c r="F16" s="1182"/>
      <c r="G16" s="1182"/>
      <c r="H16" s="1182"/>
      <c r="I16" s="1182"/>
      <c r="J16" s="1182"/>
      <c r="K16" s="1182"/>
      <c r="L16" s="1182"/>
      <c r="M16" s="1182"/>
      <c r="N16" s="1182"/>
      <c r="O16" s="1182"/>
      <c r="P16" s="1180"/>
      <c r="Q16" s="882"/>
      <c r="R16" s="1185"/>
    </row>
    <row r="17" spans="1:18" s="11" customFormat="1">
      <c r="A17" s="1184"/>
      <c r="B17" s="882"/>
      <c r="C17" s="882"/>
      <c r="D17" s="1547" t="s">
        <v>1296</v>
      </c>
      <c r="E17" s="1547"/>
      <c r="F17" s="882"/>
      <c r="G17" s="1548" t="s">
        <v>1297</v>
      </c>
      <c r="H17" s="1548"/>
      <c r="I17" s="882"/>
      <c r="J17" s="1553" t="s">
        <v>1291</v>
      </c>
      <c r="K17" s="1553"/>
      <c r="L17" s="882"/>
      <c r="M17" s="882"/>
      <c r="N17" s="882"/>
      <c r="O17" s="882"/>
      <c r="P17" s="1181"/>
      <c r="Q17" s="882"/>
      <c r="R17" s="1185"/>
    </row>
    <row r="18" spans="1:18" s="11" customFormat="1">
      <c r="A18" s="1184"/>
      <c r="B18" s="882"/>
      <c r="C18" s="882"/>
      <c r="D18" s="882"/>
      <c r="E18" s="882"/>
      <c r="F18" s="882"/>
      <c r="G18" s="882"/>
      <c r="H18" s="882"/>
      <c r="I18" s="882"/>
      <c r="J18" s="1554"/>
      <c r="K18" s="1554"/>
      <c r="L18" s="882"/>
      <c r="M18" s="882"/>
      <c r="N18" s="882"/>
      <c r="O18" s="882"/>
      <c r="P18" s="1181"/>
      <c r="Q18" s="882"/>
      <c r="R18" s="1185"/>
    </row>
    <row r="19" spans="1:18" s="11" customFormat="1">
      <c r="A19" s="1184"/>
      <c r="B19" s="882"/>
      <c r="C19" s="882"/>
      <c r="D19" s="882"/>
      <c r="E19" s="882"/>
      <c r="F19" s="882"/>
      <c r="G19" s="882"/>
      <c r="H19" s="882"/>
      <c r="I19" s="882"/>
      <c r="J19" s="882"/>
      <c r="K19" s="882"/>
      <c r="L19" s="882"/>
      <c r="M19" s="882"/>
      <c r="N19" s="882"/>
      <c r="O19" s="882"/>
      <c r="P19" s="1181"/>
      <c r="Q19" s="882"/>
      <c r="R19" s="1185"/>
    </row>
    <row r="20" spans="1:18" s="11" customFormat="1">
      <c r="A20" s="1184"/>
      <c r="B20" s="882"/>
      <c r="C20" s="882"/>
      <c r="D20" s="882"/>
      <c r="E20" s="882"/>
      <c r="F20" s="882"/>
      <c r="G20" s="882"/>
      <c r="H20" s="882"/>
      <c r="I20" s="882"/>
      <c r="J20" s="882"/>
      <c r="K20" s="882"/>
      <c r="L20" s="882"/>
      <c r="M20" s="882"/>
      <c r="N20" s="882"/>
      <c r="O20" s="882"/>
      <c r="P20" s="1181"/>
      <c r="Q20" s="882"/>
      <c r="R20" s="1185"/>
    </row>
    <row r="21" spans="1:18" s="11" customFormat="1">
      <c r="A21" s="1184"/>
      <c r="B21" s="882"/>
      <c r="C21" s="882"/>
      <c r="D21" s="882"/>
      <c r="E21" s="882"/>
      <c r="F21" s="882"/>
      <c r="G21" s="882"/>
      <c r="H21" s="882"/>
      <c r="I21" s="882"/>
      <c r="J21" s="882"/>
      <c r="K21" s="882"/>
      <c r="L21" s="882"/>
      <c r="M21" s="882"/>
      <c r="N21" s="882"/>
      <c r="O21" s="882"/>
      <c r="P21" s="1181"/>
      <c r="Q21" s="882"/>
      <c r="R21" s="1185"/>
    </row>
    <row r="22" spans="1:18" s="11" customFormat="1">
      <c r="A22" s="1184"/>
      <c r="B22" s="882"/>
      <c r="C22" s="882"/>
      <c r="D22" s="882"/>
      <c r="E22" s="882"/>
      <c r="F22" s="882"/>
      <c r="G22" s="882"/>
      <c r="H22" s="882"/>
      <c r="I22" s="882"/>
      <c r="J22" s="882"/>
      <c r="K22" s="882"/>
      <c r="L22" s="882"/>
      <c r="M22" s="882"/>
      <c r="N22" s="882"/>
      <c r="O22" s="882"/>
      <c r="P22" s="1181"/>
      <c r="Q22" s="1538" t="s">
        <v>1292</v>
      </c>
      <c r="R22" s="1539"/>
    </row>
    <row r="23" spans="1:18" s="11" customFormat="1">
      <c r="A23" s="1184"/>
      <c r="B23" s="882"/>
      <c r="C23" s="882"/>
      <c r="D23" s="882"/>
      <c r="E23" s="882"/>
      <c r="F23" s="882"/>
      <c r="G23" s="882"/>
      <c r="H23" s="882"/>
      <c r="I23" s="882"/>
      <c r="J23" s="882"/>
      <c r="K23" s="882"/>
      <c r="L23" s="882"/>
      <c r="M23" s="882"/>
      <c r="N23" s="882"/>
      <c r="O23" s="882"/>
      <c r="P23" s="1181"/>
      <c r="Q23" s="1538"/>
      <c r="R23" s="1539"/>
    </row>
    <row r="24" spans="1:18" s="11" customFormat="1">
      <c r="A24" s="1184"/>
      <c r="B24" s="882"/>
      <c r="C24" s="882"/>
      <c r="D24" s="882"/>
      <c r="E24" s="882"/>
      <c r="F24" s="882"/>
      <c r="G24" s="882"/>
      <c r="H24" s="882"/>
      <c r="I24" s="882"/>
      <c r="J24" s="882"/>
      <c r="K24" s="882"/>
      <c r="L24" s="882"/>
      <c r="M24" s="882"/>
      <c r="N24" s="882"/>
      <c r="O24" s="882"/>
      <c r="P24" s="1181"/>
      <c r="Q24" s="1538"/>
      <c r="R24" s="1539"/>
    </row>
    <row r="25" spans="1:18" s="11" customFormat="1">
      <c r="A25" s="1184"/>
      <c r="B25" s="882"/>
      <c r="C25" s="882"/>
      <c r="D25" s="882"/>
      <c r="E25" s="882"/>
      <c r="F25" s="882"/>
      <c r="G25" s="882"/>
      <c r="H25" s="882"/>
      <c r="I25" s="882"/>
      <c r="J25" s="882"/>
      <c r="K25" s="882"/>
      <c r="L25" s="882"/>
      <c r="M25" s="882"/>
      <c r="N25" s="882"/>
      <c r="O25" s="882"/>
      <c r="P25" s="1181"/>
      <c r="Q25" s="882"/>
      <c r="R25" s="1185"/>
    </row>
    <row r="26" spans="1:18" s="11" customFormat="1">
      <c r="A26" s="1184"/>
      <c r="B26" s="882"/>
      <c r="C26" s="882"/>
      <c r="D26" s="882"/>
      <c r="E26" s="882"/>
      <c r="F26" s="882"/>
      <c r="G26" s="882"/>
      <c r="H26" s="882"/>
      <c r="I26" s="882"/>
      <c r="J26" s="882"/>
      <c r="K26" s="882"/>
      <c r="L26" s="882"/>
      <c r="M26" s="882"/>
      <c r="N26" s="882"/>
      <c r="O26" s="882"/>
      <c r="P26" s="1181"/>
      <c r="Q26" s="882"/>
      <c r="R26" s="1185"/>
    </row>
    <row r="27" spans="1:18" s="11" customFormat="1">
      <c r="A27" s="1184"/>
      <c r="B27" s="882"/>
      <c r="C27" s="882"/>
      <c r="D27" s="882"/>
      <c r="E27" s="882"/>
      <c r="F27" s="882"/>
      <c r="G27" s="882"/>
      <c r="H27" s="882"/>
      <c r="I27" s="882"/>
      <c r="J27" s="882"/>
      <c r="K27" s="882"/>
      <c r="L27" s="882"/>
      <c r="M27" s="882"/>
      <c r="N27" s="882"/>
      <c r="O27" s="882"/>
      <c r="P27" s="882"/>
      <c r="Q27" s="882"/>
      <c r="R27" s="1185"/>
    </row>
    <row r="28" spans="1:18" s="11" customFormat="1">
      <c r="A28" s="1184"/>
      <c r="B28" s="882"/>
      <c r="C28" s="882"/>
      <c r="D28" s="882"/>
      <c r="E28" s="882"/>
      <c r="F28" s="882"/>
      <c r="G28" s="882"/>
      <c r="H28" s="882"/>
      <c r="I28" s="882"/>
      <c r="J28" s="882"/>
      <c r="K28" s="882"/>
      <c r="L28" s="882"/>
      <c r="M28" s="882"/>
      <c r="N28" s="882"/>
      <c r="O28" s="882"/>
      <c r="P28" s="882"/>
      <c r="Q28" s="882"/>
      <c r="R28" s="1185"/>
    </row>
    <row r="29" spans="1:18" s="11" customFormat="1">
      <c r="A29" s="1184"/>
      <c r="B29" s="882"/>
      <c r="C29" s="882"/>
      <c r="D29" s="882"/>
      <c r="E29" s="882"/>
      <c r="F29" s="882"/>
      <c r="G29" s="882"/>
      <c r="H29" s="882"/>
      <c r="I29" s="882"/>
      <c r="J29" s="882"/>
      <c r="K29" s="882"/>
      <c r="L29" s="882"/>
      <c r="M29" s="882"/>
      <c r="N29" s="882"/>
      <c r="O29" s="882"/>
      <c r="P29" s="882"/>
      <c r="Q29" s="882"/>
      <c r="R29" s="1185"/>
    </row>
    <row r="30" spans="1:18" s="11" customFormat="1">
      <c r="A30" s="1184"/>
      <c r="B30" s="882"/>
      <c r="C30" s="882"/>
      <c r="D30" s="882"/>
      <c r="E30" s="882"/>
      <c r="F30" s="882"/>
      <c r="G30" s="882"/>
      <c r="H30" s="882"/>
      <c r="I30" s="882"/>
      <c r="J30" s="882"/>
      <c r="K30" s="882"/>
      <c r="L30" s="882"/>
      <c r="M30" s="882"/>
      <c r="N30" s="882"/>
      <c r="O30" s="882"/>
      <c r="P30" s="882"/>
      <c r="Q30" s="882"/>
      <c r="R30" s="1185"/>
    </row>
    <row r="31" spans="1:18" s="11" customFormat="1">
      <c r="A31" s="1184"/>
      <c r="B31" s="882"/>
      <c r="C31" s="882"/>
      <c r="D31" s="882"/>
      <c r="E31" s="882"/>
      <c r="F31" s="882"/>
      <c r="G31" s="882"/>
      <c r="H31" s="882"/>
      <c r="I31" s="882"/>
      <c r="J31" s="882"/>
      <c r="K31" s="882"/>
      <c r="L31" s="882"/>
      <c r="M31" s="882"/>
      <c r="N31" s="882"/>
      <c r="O31" s="882"/>
      <c r="P31" s="882"/>
      <c r="Q31" s="882"/>
      <c r="R31" s="1185"/>
    </row>
    <row r="32" spans="1:18" s="11" customFormat="1">
      <c r="A32" s="1184"/>
      <c r="B32" s="882"/>
      <c r="C32" s="882"/>
      <c r="D32" s="882"/>
      <c r="E32" s="882"/>
      <c r="F32" s="882"/>
      <c r="G32" s="882"/>
      <c r="H32" s="882"/>
      <c r="I32" s="882"/>
      <c r="J32" s="882"/>
      <c r="K32" s="882"/>
      <c r="L32" s="882"/>
      <c r="M32" s="882"/>
      <c r="N32" s="882"/>
      <c r="O32" s="882"/>
      <c r="P32" s="882"/>
      <c r="Q32" s="882"/>
      <c r="R32" s="1185"/>
    </row>
    <row r="33" spans="1:18" s="11" customFormat="1">
      <c r="A33" s="1184"/>
      <c r="B33" s="882"/>
      <c r="C33" s="882"/>
      <c r="D33" s="882"/>
      <c r="E33" s="882"/>
      <c r="F33" s="882"/>
      <c r="G33" s="882"/>
      <c r="H33" s="882"/>
      <c r="I33" s="882"/>
      <c r="J33" s="882"/>
      <c r="K33" s="882"/>
      <c r="L33" s="882"/>
      <c r="M33" s="882"/>
      <c r="N33" s="882"/>
      <c r="O33" s="882"/>
      <c r="P33" s="882"/>
      <c r="Q33" s="882"/>
      <c r="R33" s="1185"/>
    </row>
    <row r="34" spans="1:18" s="11" customFormat="1">
      <c r="A34" s="1184"/>
      <c r="B34" s="882"/>
      <c r="C34" s="882"/>
      <c r="D34" s="882"/>
      <c r="E34" s="882"/>
      <c r="F34" s="882"/>
      <c r="G34" s="882"/>
      <c r="H34" s="882"/>
      <c r="I34" s="882"/>
      <c r="J34" s="882"/>
      <c r="K34" s="882"/>
      <c r="L34" s="882"/>
      <c r="M34" s="882"/>
      <c r="N34" s="882"/>
      <c r="O34" s="882"/>
      <c r="P34" s="882"/>
      <c r="Q34" s="882"/>
      <c r="R34" s="1185"/>
    </row>
    <row r="35" spans="1:18" s="11" customFormat="1">
      <c r="A35" s="1184"/>
      <c r="B35" s="882"/>
      <c r="C35" s="882"/>
      <c r="D35" s="882"/>
      <c r="E35" s="882"/>
      <c r="F35" s="882"/>
      <c r="G35" s="882"/>
      <c r="H35" s="882"/>
      <c r="I35" s="882"/>
      <c r="J35" s="882"/>
      <c r="K35" s="882"/>
      <c r="L35" s="882"/>
      <c r="M35" s="882"/>
      <c r="N35" s="882"/>
      <c r="O35" s="882"/>
      <c r="P35" s="882"/>
      <c r="Q35" s="882"/>
      <c r="R35" s="1185"/>
    </row>
    <row r="36" spans="1:18" s="11" customFormat="1" ht="13.5" thickBot="1">
      <c r="A36" s="1186"/>
      <c r="B36" s="1187"/>
      <c r="C36" s="1187"/>
      <c r="D36" s="1187"/>
      <c r="E36" s="1187"/>
      <c r="F36" s="1187"/>
      <c r="G36" s="1187"/>
      <c r="H36" s="1187"/>
      <c r="I36" s="1187"/>
      <c r="J36" s="1187"/>
      <c r="K36" s="1187"/>
      <c r="L36" s="1187"/>
      <c r="M36" s="1187"/>
      <c r="N36" s="1187"/>
      <c r="O36" s="1187"/>
      <c r="P36" s="1187"/>
      <c r="Q36" s="1187"/>
      <c r="R36" s="1188">
        <v>1</v>
      </c>
    </row>
  </sheetData>
  <mergeCells count="11">
    <mergeCell ref="Q22:R24"/>
    <mergeCell ref="L9:M10"/>
    <mergeCell ref="A12:A13"/>
    <mergeCell ref="D11:E12"/>
    <mergeCell ref="A1:R1"/>
    <mergeCell ref="D17:E17"/>
    <mergeCell ref="G13:H13"/>
    <mergeCell ref="G17:H17"/>
    <mergeCell ref="C4:R6"/>
    <mergeCell ref="A4:B5"/>
    <mergeCell ref="J17:K18"/>
  </mergeCells>
  <pageMargins left="0.7" right="0.7" top="0.75" bottom="0.75" header="0.3" footer="0.3"/>
  <pageSetup scale="96" orientation="landscape" r:id="rId1"/>
  <drawing r:id="rId2"/>
</worksheet>
</file>

<file path=xl/worksheets/sheet12.xml><?xml version="1.0" encoding="utf-8"?>
<worksheet xmlns="http://schemas.openxmlformats.org/spreadsheetml/2006/main" xmlns:r="http://schemas.openxmlformats.org/officeDocument/2006/relationships">
  <dimension ref="A1:N451"/>
  <sheetViews>
    <sheetView view="pageBreakPreview" zoomScale="85" zoomScaleSheetLayoutView="85" workbookViewId="0">
      <selection activeCell="E13" sqref="E13"/>
    </sheetView>
  </sheetViews>
  <sheetFormatPr defaultColWidth="8.85546875" defaultRowHeight="15"/>
  <cols>
    <col min="1" max="1" width="6.28515625" style="1321" customWidth="1"/>
    <col min="2" max="2" width="11.42578125" style="1322" customWidth="1"/>
    <col min="3" max="3" width="8.85546875" style="1321"/>
    <col min="4" max="4" width="69.5703125" style="1282" customWidth="1"/>
    <col min="5" max="5" width="9.5703125" style="1282" customWidth="1"/>
    <col min="6" max="6" width="8.5703125" style="1329" customWidth="1"/>
    <col min="7" max="7" width="11.28515625" style="1282" customWidth="1"/>
    <col min="8" max="8" width="15.28515625" style="1282" customWidth="1"/>
    <col min="9" max="9" width="15" style="1282" customWidth="1"/>
    <col min="10" max="10" width="14.42578125" style="1282" customWidth="1"/>
    <col min="11" max="11" width="15.28515625" style="1282" customWidth="1"/>
    <col min="12" max="16384" width="8.85546875" style="1282"/>
  </cols>
  <sheetData>
    <row r="1" spans="1:14">
      <c r="A1" s="1556" t="s">
        <v>1383</v>
      </c>
      <c r="B1" s="1556"/>
      <c r="C1" s="1556"/>
      <c r="D1" s="1556"/>
      <c r="E1" s="1556"/>
      <c r="F1" s="1556"/>
      <c r="G1" s="1556"/>
      <c r="H1" s="1556"/>
    </row>
    <row r="2" spans="1:14">
      <c r="A2" s="1556" t="s">
        <v>1384</v>
      </c>
      <c r="B2" s="1556"/>
      <c r="C2" s="1556"/>
      <c r="D2" s="1556"/>
      <c r="E2" s="1556"/>
      <c r="F2" s="1556"/>
      <c r="G2" s="1556"/>
      <c r="H2" s="1556"/>
    </row>
    <row r="3" spans="1:14" ht="81" customHeight="1">
      <c r="A3" s="1283" t="s">
        <v>1385</v>
      </c>
      <c r="B3" s="1284"/>
      <c r="C3" s="1285"/>
      <c r="D3" s="1557" t="str">
        <f>'Spec Report'!C2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E3" s="1557"/>
      <c r="F3" s="1557"/>
      <c r="G3" s="1557"/>
      <c r="H3" s="1557"/>
    </row>
    <row r="4" spans="1:14">
      <c r="A4" s="1286" t="s">
        <v>1386</v>
      </c>
      <c r="B4" s="1287"/>
      <c r="C4" s="1288" t="str">
        <f>'Spec Report'!F3</f>
        <v xml:space="preserve">100.00 Lakhs </v>
      </c>
      <c r="D4" s="1289" t="s">
        <v>1387</v>
      </c>
      <c r="E4" s="1290" t="s">
        <v>1278</v>
      </c>
      <c r="F4" s="1558" t="str">
        <f>'Spec Report'!B3</f>
        <v>Grant:-CRR 2024-25</v>
      </c>
      <c r="G4" s="1558"/>
      <c r="H4" s="1249" t="str">
        <f>"NIT.No-"&amp;'[39]Input Data'!L5</f>
        <v>NIT.No--</v>
      </c>
    </row>
    <row r="5" spans="1:14">
      <c r="A5" s="1290" t="s">
        <v>1388</v>
      </c>
      <c r="B5" s="1559" t="s">
        <v>1389</v>
      </c>
      <c r="C5" s="1559"/>
      <c r="D5" s="1559"/>
      <c r="E5" s="1559"/>
      <c r="F5" s="1559"/>
      <c r="G5" s="1559"/>
      <c r="H5" s="1559"/>
    </row>
    <row r="6" spans="1:14">
      <c r="A6" s="1290" t="s">
        <v>1390</v>
      </c>
      <c r="B6" s="1559" t="s">
        <v>1391</v>
      </c>
      <c r="C6" s="1559"/>
      <c r="D6" s="1559"/>
      <c r="E6" s="1559"/>
      <c r="F6" s="1559"/>
      <c r="G6" s="1559"/>
      <c r="H6" s="1559"/>
    </row>
    <row r="7" spans="1:14">
      <c r="A7" s="1290" t="s">
        <v>1392</v>
      </c>
      <c r="B7" s="1560" t="s">
        <v>1393</v>
      </c>
      <c r="C7" s="1560"/>
      <c r="D7" s="1560"/>
      <c r="E7" s="1560"/>
      <c r="F7" s="1560"/>
      <c r="G7" s="1560"/>
      <c r="H7" s="1560"/>
    </row>
    <row r="8" spans="1:14">
      <c r="A8" s="1290" t="s">
        <v>1394</v>
      </c>
      <c r="B8" s="1559" t="s">
        <v>1395</v>
      </c>
      <c r="C8" s="1559"/>
      <c r="D8" s="1559"/>
      <c r="E8" s="1559"/>
      <c r="F8" s="1559"/>
      <c r="G8" s="1559"/>
      <c r="H8" s="1559"/>
    </row>
    <row r="9" spans="1:14" ht="96" customHeight="1">
      <c r="A9" s="1291" t="s">
        <v>1396</v>
      </c>
      <c r="B9" s="1292" t="s">
        <v>1397</v>
      </c>
      <c r="C9" s="1291" t="s">
        <v>566</v>
      </c>
      <c r="D9" s="1291" t="s">
        <v>1398</v>
      </c>
      <c r="E9" s="1291" t="s">
        <v>1399</v>
      </c>
      <c r="F9" s="1293" t="s">
        <v>1400</v>
      </c>
      <c r="G9" s="1294" t="s">
        <v>1401</v>
      </c>
      <c r="H9" s="1291" t="s">
        <v>567</v>
      </c>
    </row>
    <row r="10" spans="1:14">
      <c r="A10" s="1291">
        <v>1</v>
      </c>
      <c r="B10" s="1291">
        <v>2</v>
      </c>
      <c r="C10" s="1291">
        <v>3</v>
      </c>
      <c r="D10" s="1291">
        <v>4</v>
      </c>
      <c r="E10" s="1291">
        <v>5</v>
      </c>
      <c r="F10" s="1293">
        <v>6</v>
      </c>
      <c r="G10" s="1291">
        <v>7</v>
      </c>
      <c r="H10" s="1291">
        <v>8</v>
      </c>
    </row>
    <row r="11" spans="1:14" ht="30">
      <c r="A11" s="1295">
        <v>1</v>
      </c>
      <c r="B11" s="1297">
        <f>'Final Estimate'!I12</f>
        <v>32.119999999999997</v>
      </c>
      <c r="C11" s="1298" t="s">
        <v>290</v>
      </c>
      <c r="D11" s="1299" t="str">
        <f>'Spec Report'!B6</f>
        <v xml:space="preserve">Cutting open C.C. road surface including stocking of of exccavated materials for pipe line , including labour charges and contractor profit charges </v>
      </c>
      <c r="E11" s="1300" t="str">
        <f>'Datas P7'!A105</f>
        <v>PSSR  25 (a)</v>
      </c>
      <c r="F11" s="1301" t="str">
        <f>CONCATENATE("1 ",C11)</f>
        <v>1 cum</v>
      </c>
      <c r="G11" s="1278">
        <v>2664.27</v>
      </c>
      <c r="H11" s="1302">
        <f>ROUND(B11*G11,0)</f>
        <v>85576</v>
      </c>
      <c r="L11" s="1303" t="e">
        <f>IF(M11=#REF!,0,M11)</f>
        <v>#REF!</v>
      </c>
      <c r="M11" s="1303" t="e">
        <f>IF(N11&gt;0,(#REF!+1),#REF!)</f>
        <v>#REF!</v>
      </c>
      <c r="N11" s="1296">
        <f>H11</f>
        <v>85576</v>
      </c>
    </row>
    <row r="12" spans="1:14" ht="90">
      <c r="A12" s="1295">
        <v>2</v>
      </c>
      <c r="B12" s="1297">
        <f>'Final Estimate'!I33</f>
        <v>1052.7045000000001</v>
      </c>
      <c r="C12" s="1298" t="s">
        <v>290</v>
      </c>
      <c r="D12" s="1299" t="str">
        <f>'Spec Report'!B7</f>
        <v xml:space="preserve">Earthwork in excavation for Pipe Line trench Cutting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including contractor profit </v>
      </c>
      <c r="E12" s="1300" t="str">
        <f>'Datas P7'!A6</f>
        <v>RBR-FNDN-1,B(i)</v>
      </c>
      <c r="F12" s="1301" t="str">
        <f t="shared" ref="F12:F27" si="0">CONCATENATE("1 ",C12)</f>
        <v>1 cum</v>
      </c>
      <c r="G12" s="1278">
        <v>123.7</v>
      </c>
      <c r="H12" s="1302">
        <f t="shared" ref="H12:H27" si="1">ROUND(B12*G12,0)</f>
        <v>130220</v>
      </c>
      <c r="L12" s="1303" t="e">
        <f t="shared" ref="L12:L27" si="2">IF(M12=M11,0,M12)</f>
        <v>#REF!</v>
      </c>
      <c r="M12" s="1303" t="e">
        <f t="shared" ref="M12:M27" si="3">IF(N12&gt;0,(M11+1),M11)</f>
        <v>#REF!</v>
      </c>
      <c r="N12" s="1296">
        <f>H12</f>
        <v>130220</v>
      </c>
    </row>
    <row r="13" spans="1:14" ht="60">
      <c r="A13" s="1295">
        <v>3</v>
      </c>
      <c r="B13" s="1297">
        <f>'Final Estimate'!I39</f>
        <v>55.405500000000011</v>
      </c>
      <c r="C13" s="1298" t="s">
        <v>290</v>
      </c>
      <c r="D13" s="1299" t="str">
        <f>'Spec Report'!B8</f>
        <v>Earthwork in excavation in Hard rock (blasting prohibited) with rock breakersin hard rock including breaking rock, loading , in tippers and disposal with all lifts and lead up to 1000m as per technical specifications 302.3.5</v>
      </c>
      <c r="E13" s="1300" t="str">
        <f>'Datas P7'!A22</f>
        <v>PHE EXRW -33</v>
      </c>
      <c r="F13" s="1301" t="str">
        <f t="shared" si="0"/>
        <v>1 cum</v>
      </c>
      <c r="G13" s="1278">
        <v>1939.7875241000002</v>
      </c>
      <c r="H13" s="1302">
        <f t="shared" si="1"/>
        <v>107475</v>
      </c>
      <c r="L13" s="1303" t="e">
        <f t="shared" si="2"/>
        <v>#REF!</v>
      </c>
      <c r="M13" s="1303" t="e">
        <f t="shared" si="3"/>
        <v>#REF!</v>
      </c>
      <c r="N13" s="1296">
        <f t="shared" ref="N13:N27" si="4">H13</f>
        <v>107475</v>
      </c>
    </row>
    <row r="14" spans="1:14" ht="105">
      <c r="A14" s="1295">
        <v>4</v>
      </c>
      <c r="B14" s="1297">
        <f>'Final Estimate'!I41</f>
        <v>400</v>
      </c>
      <c r="C14" s="1298" t="s">
        <v>1406</v>
      </c>
      <c r="D14" s="1299" t="str">
        <f>'Spec Report'!B9</f>
        <v>MANUFACTURE, SUPPLY AND DELIVERY OF R.C.C. SOCKET AND SPIGOT PIPES CONFORMING TO B.I.S. 458/2003 AT EX-FACTORY (RATE PER METER OF EFFECTIVE LENGTH) EXCLUDING TRANSPORTATION, TAXES &amp; DUTIES. Of Non Pressure pipes  and Lowering the RCC S/S pipes carefully into the trenches laying them true to alignment and gradient, jointing with rubber rings and testing including filling with water with a water lead upto 500 meters including cost of rubber rings as per BIS No. 783/1985</v>
      </c>
      <c r="E14" s="1300" t="s">
        <v>1407</v>
      </c>
      <c r="F14" s="1301" t="str">
        <f t="shared" si="0"/>
        <v>1 rmt</v>
      </c>
      <c r="G14" s="1278">
        <v>2761.6284999999998</v>
      </c>
      <c r="H14" s="1302">
        <f t="shared" si="1"/>
        <v>1104651</v>
      </c>
      <c r="L14" s="1303" t="e">
        <f t="shared" si="2"/>
        <v>#REF!</v>
      </c>
      <c r="M14" s="1303" t="e">
        <f t="shared" si="3"/>
        <v>#REF!</v>
      </c>
      <c r="N14" s="1296">
        <f t="shared" si="4"/>
        <v>1104651</v>
      </c>
    </row>
    <row r="15" spans="1:14" ht="60">
      <c r="A15" s="1295">
        <v>5</v>
      </c>
      <c r="B15" s="1297">
        <f>'Final Estimate'!I45</f>
        <v>400</v>
      </c>
      <c r="C15" s="1298" t="s">
        <v>1406</v>
      </c>
      <c r="D15" s="1299" t="str">
        <f>'Spec Report'!B10</f>
        <v>Lowering the RCC S/S pipes carefully into the trenches laying them true to alignment and gradient, jointing with rubber rings and testing including filling with water with a water lead upto 500 meters including cost of rubber rings as per BIS No. 783/1985</v>
      </c>
      <c r="E15" s="1300" t="str">
        <f>'NP 3 450 mm dia'!B44</f>
        <v>PHE-LRCS-6</v>
      </c>
      <c r="F15" s="1301" t="str">
        <f t="shared" si="0"/>
        <v>1 rmt</v>
      </c>
      <c r="G15" s="1278">
        <v>280.25</v>
      </c>
      <c r="H15" s="1302">
        <f t="shared" si="1"/>
        <v>112100</v>
      </c>
      <c r="L15" s="1303" t="e">
        <f t="shared" si="2"/>
        <v>#REF!</v>
      </c>
      <c r="M15" s="1303" t="e">
        <f t="shared" si="3"/>
        <v>#REF!</v>
      </c>
      <c r="N15" s="1296">
        <f t="shared" si="4"/>
        <v>112100</v>
      </c>
    </row>
    <row r="16" spans="1:14" ht="105">
      <c r="A16" s="1295">
        <v>6</v>
      </c>
      <c r="B16" s="1297"/>
      <c r="C16" s="1298"/>
      <c r="D16" s="1299" t="str">
        <f>'Spec Report'!B11</f>
        <v>Supply, Lowering, laying and jointing of 200mm dia SWG SP1 pipe in ready made trench true to alignment and gradient,jointing, and testing of stone ware pipes including cost of jointing material such as cement mortar (1:1) proportion and hemp yarn including cost and conveyance of pipe. (Reference to specifications BIS No.6530/72) PHE-LJSW-13 including loading and unloading, Contractor's profit and overhead charges complete for finished item and  as directed by the Engineer-in-charge.</v>
      </c>
      <c r="E16" s="1300"/>
      <c r="F16" s="1301"/>
      <c r="G16" s="1278"/>
      <c r="H16" s="1302"/>
      <c r="L16" s="1303" t="e">
        <f t="shared" si="2"/>
        <v>#REF!</v>
      </c>
      <c r="M16" s="1303" t="e">
        <f t="shared" si="3"/>
        <v>#REF!</v>
      </c>
      <c r="N16" s="1296">
        <f t="shared" si="4"/>
        <v>0</v>
      </c>
    </row>
    <row r="17" spans="1:14" ht="30">
      <c r="A17" s="1295" t="s">
        <v>1388</v>
      </c>
      <c r="B17" s="1297">
        <f>'Final Estimate'!I47</f>
        <v>500</v>
      </c>
      <c r="C17" s="1298" t="s">
        <v>1406</v>
      </c>
      <c r="D17" s="1299" t="str">
        <f>'Final Estimate'!B47</f>
        <v>For  200 mm  Dia Line</v>
      </c>
      <c r="E17" s="1300" t="str">
        <f>'stoneware pipes'!A2</f>
        <v>PHE-LJSW-13</v>
      </c>
      <c r="F17" s="1301" t="str">
        <f t="shared" si="0"/>
        <v>1 rmt</v>
      </c>
      <c r="G17" s="1278">
        <v>986.39</v>
      </c>
      <c r="H17" s="1302">
        <f t="shared" si="1"/>
        <v>493195</v>
      </c>
      <c r="L17" s="1303"/>
      <c r="M17" s="1303"/>
      <c r="N17" s="1296"/>
    </row>
    <row r="18" spans="1:14" ht="30">
      <c r="A18" s="1295" t="s">
        <v>1390</v>
      </c>
      <c r="B18" s="1297">
        <f>'Final Estimate'!I48</f>
        <v>370</v>
      </c>
      <c r="C18" s="1298" t="s">
        <v>1406</v>
      </c>
      <c r="D18" s="1299" t="str">
        <f>'Final Estimate'!B48</f>
        <v>For  300 mm  Dia Line</v>
      </c>
      <c r="E18" s="1300" t="str">
        <f>'stoneware pipes'!A2</f>
        <v>PHE-LJSW-13</v>
      </c>
      <c r="F18" s="1301" t="str">
        <f t="shared" si="0"/>
        <v>1 rmt</v>
      </c>
      <c r="G18" s="1278">
        <v>2228.98</v>
      </c>
      <c r="H18" s="1302">
        <f t="shared" si="1"/>
        <v>824723</v>
      </c>
      <c r="L18" s="1303"/>
      <c r="M18" s="1303"/>
      <c r="N18" s="1296"/>
    </row>
    <row r="19" spans="1:14" ht="135">
      <c r="A19" s="1295">
        <v>7</v>
      </c>
      <c r="B19" s="1297"/>
      <c r="C19" s="1298"/>
      <c r="D19" s="1299" t="str">
        <f>'Spec Report'!B12</f>
        <v>Constructon  of  0.90 M   Circular Sewer Man hole of 0.90 mts x 0.55 m of 0.90 M  depth with Fly ash cement  sloid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E19" s="1300"/>
      <c r="F19" s="1301"/>
      <c r="G19" s="1278"/>
      <c r="H19" s="1302"/>
      <c r="L19" s="1303" t="e">
        <f>IF(M19=M16,0,M19)</f>
        <v>#REF!</v>
      </c>
      <c r="M19" s="1303" t="e">
        <f>IF(N19&gt;0,(M16+1),M16)</f>
        <v>#REF!</v>
      </c>
      <c r="N19" s="1296">
        <f t="shared" si="4"/>
        <v>0</v>
      </c>
    </row>
    <row r="20" spans="1:14">
      <c r="A20" s="1295" t="s">
        <v>1388</v>
      </c>
      <c r="B20" s="1297">
        <f>'Final Estimate'!I50</f>
        <v>40</v>
      </c>
      <c r="C20" s="1298" t="s">
        <v>736</v>
      </c>
      <c r="D20" s="1299" t="str">
        <f>'Final Estimate'!B50</f>
        <v>For 0.90  m Depth  200 Pipe Line</v>
      </c>
      <c r="E20" s="1300" t="s">
        <v>1408</v>
      </c>
      <c r="F20" s="1301" t="str">
        <f t="shared" si="0"/>
        <v>1 nos</v>
      </c>
      <c r="G20" s="1278">
        <v>7948.1600000000008</v>
      </c>
      <c r="H20" s="1302">
        <f t="shared" si="1"/>
        <v>317926</v>
      </c>
      <c r="L20" s="1303"/>
      <c r="M20" s="1303"/>
      <c r="N20" s="1296"/>
    </row>
    <row r="21" spans="1:14">
      <c r="A21" s="1295" t="s">
        <v>1390</v>
      </c>
      <c r="B21" s="1297">
        <f>'Final Estimate'!I51</f>
        <v>45</v>
      </c>
      <c r="C21" s="1298" t="s">
        <v>736</v>
      </c>
      <c r="D21" s="1299" t="str">
        <f>'Final Estimate'!B51</f>
        <v>for 0.90 m Depth  300 Pipe Line</v>
      </c>
      <c r="E21" s="1300" t="str">
        <f>E20</f>
        <v>PH Data</v>
      </c>
      <c r="F21" s="1301" t="str">
        <f t="shared" si="0"/>
        <v>1 nos</v>
      </c>
      <c r="G21" s="1278">
        <v>7277.99</v>
      </c>
      <c r="H21" s="1302">
        <f t="shared" si="1"/>
        <v>327510</v>
      </c>
      <c r="L21" s="1303"/>
      <c r="M21" s="1303"/>
      <c r="N21" s="1296"/>
    </row>
    <row r="22" spans="1:14">
      <c r="A22" s="1295" t="s">
        <v>1392</v>
      </c>
      <c r="B22" s="1297">
        <f>'Final Estimate'!I52</f>
        <v>20</v>
      </c>
      <c r="C22" s="1298" t="s">
        <v>736</v>
      </c>
      <c r="D22" s="1299" t="str">
        <f>'Final Estimate'!B52</f>
        <v>for 0.90 m Depth  450 Pipe Line</v>
      </c>
      <c r="E22" s="1300" t="str">
        <f>E21</f>
        <v>PH Data</v>
      </c>
      <c r="F22" s="1301" t="str">
        <f t="shared" si="0"/>
        <v>1 nos</v>
      </c>
      <c r="G22" s="1278">
        <v>6371.5700000000006</v>
      </c>
      <c r="H22" s="1302">
        <f t="shared" si="1"/>
        <v>127431</v>
      </c>
      <c r="L22" s="1303"/>
      <c r="M22" s="1303"/>
      <c r="N22" s="1296"/>
    </row>
    <row r="23" spans="1:14" ht="120">
      <c r="A23" s="1295">
        <v>8</v>
      </c>
      <c r="B23" s="1297">
        <f>'Final Estimate'!I55</f>
        <v>210</v>
      </c>
      <c r="C23" s="1298" t="s">
        <v>736</v>
      </c>
      <c r="D23" s="1299" t="str">
        <f>'Spec Report'!B13</f>
        <v xml:space="preserve"> Additional manhole 0.10 M depth constructon  of 0.90 circular sewer man hole of 0.90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E23" s="1300" t="str">
        <f>E22</f>
        <v>PH Data</v>
      </c>
      <c r="F23" s="1301" t="str">
        <f t="shared" si="0"/>
        <v>1 nos</v>
      </c>
      <c r="G23" s="1278">
        <v>819.28</v>
      </c>
      <c r="H23" s="1302">
        <f t="shared" si="1"/>
        <v>172049</v>
      </c>
      <c r="L23" s="1303" t="e">
        <f>IF(M23=M19,0,M23)</f>
        <v>#REF!</v>
      </c>
      <c r="M23" s="1303" t="e">
        <f>IF(N23&gt;0,(M19+1),M19)</f>
        <v>#REF!</v>
      </c>
      <c r="N23" s="1296">
        <f t="shared" si="4"/>
        <v>172049</v>
      </c>
    </row>
    <row r="24" spans="1:14" ht="135">
      <c r="A24" s="1295">
        <v>9</v>
      </c>
      <c r="B24" s="1297">
        <f>'Final Estimate'!I59</f>
        <v>20</v>
      </c>
      <c r="C24" s="1298" t="s">
        <v>736</v>
      </c>
      <c r="D24" s="1299" t="str">
        <f>'Spec Report'!B14</f>
        <v>Constructon  of  1.20 M   Circular Sewer Man hole of 1.20 mts x 0.55 m of 1.65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E24" s="1300" t="str">
        <f>E23</f>
        <v>PH Data</v>
      </c>
      <c r="F24" s="1301" t="str">
        <f t="shared" si="0"/>
        <v>1 nos</v>
      </c>
      <c r="G24" s="1278">
        <v>16224.979999999998</v>
      </c>
      <c r="H24" s="1302">
        <f t="shared" si="1"/>
        <v>324500</v>
      </c>
      <c r="L24" s="1303" t="e">
        <f t="shared" si="2"/>
        <v>#REF!</v>
      </c>
      <c r="M24" s="1303" t="e">
        <f t="shared" si="3"/>
        <v>#REF!</v>
      </c>
      <c r="N24" s="1296">
        <f t="shared" si="4"/>
        <v>324500</v>
      </c>
    </row>
    <row r="25" spans="1:14" ht="120">
      <c r="A25" s="1295">
        <v>10</v>
      </c>
      <c r="B25" s="1297">
        <f>'Final Estimate'!I62</f>
        <v>40</v>
      </c>
      <c r="C25" s="1298" t="s">
        <v>736</v>
      </c>
      <c r="D25" s="1299" t="str">
        <f>'Spec Report'!B15</f>
        <v xml:space="preserve"> Additional manhole 0.10 M depth constructon  of 1.2 circular sewer man hole of 1.65-2.3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E25" s="1300" t="str">
        <f>E24</f>
        <v>PH Data</v>
      </c>
      <c r="F25" s="1301" t="str">
        <f t="shared" si="0"/>
        <v>1 nos</v>
      </c>
      <c r="G25" s="1278">
        <v>1820.6646153846154</v>
      </c>
      <c r="H25" s="1302">
        <f t="shared" si="1"/>
        <v>72827</v>
      </c>
      <c r="L25" s="1303" t="e">
        <f t="shared" si="2"/>
        <v>#REF!</v>
      </c>
      <c r="M25" s="1303" t="e">
        <f t="shared" si="3"/>
        <v>#REF!</v>
      </c>
      <c r="N25" s="1296">
        <f t="shared" si="4"/>
        <v>72827</v>
      </c>
    </row>
    <row r="26" spans="1:14" ht="60">
      <c r="A26" s="1295">
        <v>11</v>
      </c>
      <c r="B26" s="1297">
        <f>'Final Estimate'!I64</f>
        <v>125</v>
      </c>
      <c r="C26" s="1298" t="s">
        <v>736</v>
      </c>
      <c r="D26" s="1299" t="str">
        <f>'Spec Report'!B16</f>
        <v>Manufacture as per BIS:12592 (Part 1&amp;2) Supply &amp; Delivery of manhole covers and frames with ISI marking anywhere in A.P., F.O.R. destination including, loading, un-loading &amp; stacking at site but excluding central excise duty, sales tax, octroi and other Govt levies etc., as applicable. I.S.I Mark</v>
      </c>
      <c r="E26" s="1300" t="s">
        <v>1409</v>
      </c>
      <c r="F26" s="1301" t="str">
        <f t="shared" si="0"/>
        <v>1 nos</v>
      </c>
      <c r="G26" s="1278">
        <v>2716</v>
      </c>
      <c r="H26" s="1302">
        <f t="shared" si="1"/>
        <v>339500</v>
      </c>
      <c r="L26" s="1303" t="e">
        <f t="shared" si="2"/>
        <v>#REF!</v>
      </c>
      <c r="M26" s="1303" t="e">
        <f t="shared" si="3"/>
        <v>#REF!</v>
      </c>
      <c r="N26" s="1296">
        <f t="shared" si="4"/>
        <v>339500</v>
      </c>
    </row>
    <row r="27" spans="1:14" ht="240">
      <c r="A27" s="1295">
        <v>12</v>
      </c>
      <c r="B27" s="1297">
        <f>'Final Estimate'!I77</f>
        <v>382.50000000000006</v>
      </c>
      <c r="C27" s="1298" t="s">
        <v>290</v>
      </c>
      <c r="D27" s="1299" t="str">
        <f>'Spec Report'!B17</f>
        <v>Construction of  dowel jointed un-reinforced, expansion and construction joint plain cement concrete pavement, thickness as per design, over a prepared sub base, with 43 grade cement or any other type as per Clause 1501.2.2 M30 (Grade), coarse and fine aggregates (Natural sand 50%+Manufactured sand(Rock Sand)50% )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v>
      </c>
      <c r="E27" s="1300" t="s">
        <v>1402</v>
      </c>
      <c r="F27" s="1301" t="str">
        <f t="shared" si="0"/>
        <v>1 cum</v>
      </c>
      <c r="G27" s="1278">
        <v>7624.7</v>
      </c>
      <c r="H27" s="1302">
        <f t="shared" si="1"/>
        <v>2916448</v>
      </c>
      <c r="L27" s="1303" t="e">
        <f t="shared" si="2"/>
        <v>#REF!</v>
      </c>
      <c r="M27" s="1303" t="e">
        <f t="shared" si="3"/>
        <v>#REF!</v>
      </c>
      <c r="N27" s="1296">
        <f t="shared" si="4"/>
        <v>2916448</v>
      </c>
    </row>
    <row r="28" spans="1:14">
      <c r="A28" s="1295"/>
      <c r="B28" s="1297"/>
      <c r="C28" s="1278"/>
      <c r="D28" s="1299"/>
      <c r="E28" s="1300"/>
      <c r="F28" s="1304"/>
      <c r="G28" s="1309"/>
      <c r="H28" s="1302"/>
      <c r="I28" s="1305" t="e">
        <f>SUM(#REF!)</f>
        <v>#REF!</v>
      </c>
      <c r="J28" s="1305">
        <f>'[39]Road-furniture '!G18</f>
        <v>37461</v>
      </c>
      <c r="K28" s="1308" t="e">
        <f>I28-J28</f>
        <v>#REF!</v>
      </c>
      <c r="L28" s="1303" t="e">
        <f>IF(M28=#REF!,0,M28)</f>
        <v>#REF!</v>
      </c>
      <c r="M28" s="1303" t="e">
        <f>IF(N28&gt;0,(#REF!+1),#REF!)</f>
        <v>#REF!</v>
      </c>
      <c r="N28" s="1296">
        <f t="shared" ref="N28:N32" si="5">H28</f>
        <v>0</v>
      </c>
    </row>
    <row r="29" spans="1:14" s="1307" customFormat="1" ht="15.75" thickBot="1">
      <c r="A29" s="1295"/>
      <c r="B29" s="1310"/>
      <c r="C29" s="1312"/>
      <c r="D29" s="1289"/>
      <c r="E29" s="1311"/>
      <c r="F29" s="1306"/>
      <c r="G29" s="1313"/>
      <c r="H29" s="1314">
        <f>SUBTOTAL(9,H11:H27)</f>
        <v>7456131</v>
      </c>
      <c r="I29" s="1315" t="e">
        <f>I28+#REF!+#REF!+#REF!</f>
        <v>#REF!</v>
      </c>
      <c r="J29" s="1316">
        <f>[39]GA!E11</f>
        <v>8482237</v>
      </c>
      <c r="K29" s="1317" t="e">
        <f>I29-J29</f>
        <v>#REF!</v>
      </c>
      <c r="L29" s="1303" t="e">
        <f>IF(M29=M28,0,M29)</f>
        <v>#REF!</v>
      </c>
      <c r="M29" s="1303" t="e">
        <f>IF(N29&gt;0,(M28+1),M28)</f>
        <v>#REF!</v>
      </c>
      <c r="N29" s="1296">
        <f t="shared" si="5"/>
        <v>7456131</v>
      </c>
    </row>
    <row r="30" spans="1:14" s="1307" customFormat="1">
      <c r="A30" s="1298"/>
      <c r="B30" s="1310"/>
      <c r="C30" s="1249"/>
      <c r="D30" s="1318"/>
      <c r="E30" s="1311"/>
      <c r="F30" s="1306"/>
      <c r="G30" s="1311"/>
      <c r="H30" s="1314">
        <f>H29</f>
        <v>7456131</v>
      </c>
      <c r="I30" s="1319" t="e">
        <f>+[39]GA!E11+'[39]Schedule-A'!#REF!</f>
        <v>#REF!</v>
      </c>
      <c r="J30" s="1320" t="e">
        <f>+H30-I30</f>
        <v>#REF!</v>
      </c>
      <c r="L30" s="1303" t="e">
        <f>IF(M30=#REF!,0,M30)</f>
        <v>#REF!</v>
      </c>
      <c r="M30" s="1303" t="e">
        <f>IF(N30&gt;0,(#REF!+1),#REF!)</f>
        <v>#REF!</v>
      </c>
      <c r="N30" s="1296">
        <f t="shared" si="5"/>
        <v>7456131</v>
      </c>
    </row>
    <row r="31" spans="1:14">
      <c r="D31" s="1323"/>
      <c r="E31" s="1324"/>
      <c r="F31" s="1324"/>
      <c r="G31" s="1325"/>
      <c r="L31" s="1303" t="e">
        <f>IF(M31=M30,0,M31)</f>
        <v>#REF!</v>
      </c>
      <c r="M31" s="1303" t="e">
        <f>IF(N31&gt;0,(M30+1),M30)</f>
        <v>#REF!</v>
      </c>
      <c r="N31" s="1296">
        <f t="shared" si="5"/>
        <v>0</v>
      </c>
    </row>
    <row r="32" spans="1:14">
      <c r="D32" s="1326"/>
      <c r="E32" s="1555" t="s">
        <v>1403</v>
      </c>
      <c r="F32" s="1555"/>
      <c r="G32" s="1555"/>
      <c r="L32" s="1303" t="e">
        <f>IF(M32=M31,0,M32)</f>
        <v>#REF!</v>
      </c>
      <c r="M32" s="1303" t="e">
        <f>IF(N32&gt;0,(M31+1),M31)</f>
        <v>#REF!</v>
      </c>
      <c r="N32" s="1296">
        <f t="shared" si="5"/>
        <v>0</v>
      </c>
    </row>
    <row r="33" spans="4:7">
      <c r="D33" s="1326"/>
      <c r="E33" s="1327"/>
      <c r="F33" s="1327"/>
      <c r="G33" s="1327"/>
    </row>
    <row r="34" spans="4:7">
      <c r="D34" s="1326"/>
      <c r="E34" s="1561"/>
      <c r="F34" s="1561"/>
      <c r="G34" s="1561"/>
    </row>
    <row r="35" spans="4:7">
      <c r="D35" s="1326"/>
      <c r="E35" s="1555" t="s">
        <v>1404</v>
      </c>
      <c r="F35" s="1555"/>
      <c r="G35" s="1555"/>
    </row>
    <row r="36" spans="4:7">
      <c r="D36" s="1326"/>
      <c r="E36" s="1555" t="s">
        <v>1405</v>
      </c>
      <c r="F36" s="1555"/>
      <c r="G36" s="1555"/>
    </row>
    <row r="37" spans="4:7">
      <c r="D37" s="1328"/>
    </row>
    <row r="38" spans="4:7">
      <c r="D38" s="1328"/>
    </row>
    <row r="39" spans="4:7">
      <c r="D39" s="1328"/>
    </row>
    <row r="40" spans="4:7">
      <c r="D40" s="1328"/>
    </row>
    <row r="41" spans="4:7">
      <c r="D41" s="1328"/>
    </row>
    <row r="42" spans="4:7">
      <c r="D42" s="1328"/>
    </row>
    <row r="43" spans="4:7">
      <c r="D43" s="1328"/>
    </row>
    <row r="44" spans="4:7">
      <c r="D44" s="1328"/>
    </row>
    <row r="45" spans="4:7">
      <c r="D45" s="1328"/>
    </row>
    <row r="46" spans="4:7">
      <c r="D46" s="1328"/>
    </row>
    <row r="47" spans="4:7">
      <c r="D47" s="1328"/>
    </row>
    <row r="48" spans="4:7">
      <c r="D48" s="1328"/>
    </row>
    <row r="49" spans="4:4">
      <c r="D49" s="1328"/>
    </row>
    <row r="50" spans="4:4">
      <c r="D50" s="1328"/>
    </row>
    <row r="51" spans="4:4">
      <c r="D51" s="1328"/>
    </row>
    <row r="52" spans="4:4">
      <c r="D52" s="1328"/>
    </row>
    <row r="53" spans="4:4">
      <c r="D53" s="1328"/>
    </row>
    <row r="54" spans="4:4">
      <c r="D54" s="1328"/>
    </row>
    <row r="55" spans="4:4">
      <c r="D55" s="1328"/>
    </row>
    <row r="56" spans="4:4">
      <c r="D56" s="1328"/>
    </row>
    <row r="57" spans="4:4">
      <c r="D57" s="1328"/>
    </row>
    <row r="58" spans="4:4">
      <c r="D58" s="1328"/>
    </row>
    <row r="59" spans="4:4">
      <c r="D59" s="1328"/>
    </row>
    <row r="60" spans="4:4">
      <c r="D60" s="1328"/>
    </row>
    <row r="61" spans="4:4">
      <c r="D61" s="1328"/>
    </row>
    <row r="62" spans="4:4">
      <c r="D62" s="1328"/>
    </row>
    <row r="63" spans="4:4">
      <c r="D63" s="1328"/>
    </row>
    <row r="64" spans="4:4">
      <c r="D64" s="1328"/>
    </row>
    <row r="65" spans="4:4">
      <c r="D65" s="1328"/>
    </row>
    <row r="66" spans="4:4">
      <c r="D66" s="1328"/>
    </row>
    <row r="67" spans="4:4">
      <c r="D67" s="1328"/>
    </row>
    <row r="68" spans="4:4">
      <c r="D68" s="1328"/>
    </row>
    <row r="69" spans="4:4">
      <c r="D69" s="1328"/>
    </row>
    <row r="70" spans="4:4">
      <c r="D70" s="1328"/>
    </row>
    <row r="71" spans="4:4">
      <c r="D71" s="1328"/>
    </row>
    <row r="72" spans="4:4">
      <c r="D72" s="1328"/>
    </row>
    <row r="73" spans="4:4">
      <c r="D73" s="1328"/>
    </row>
    <row r="74" spans="4:4">
      <c r="D74" s="1328"/>
    </row>
    <row r="75" spans="4:4">
      <c r="D75" s="1328"/>
    </row>
    <row r="76" spans="4:4">
      <c r="D76" s="1328"/>
    </row>
    <row r="77" spans="4:4">
      <c r="D77" s="1328"/>
    </row>
    <row r="78" spans="4:4">
      <c r="D78" s="1328"/>
    </row>
    <row r="79" spans="4:4">
      <c r="D79" s="1328"/>
    </row>
    <row r="80" spans="4:4">
      <c r="D80" s="1328"/>
    </row>
    <row r="81" spans="4:4">
      <c r="D81" s="1328"/>
    </row>
    <row r="82" spans="4:4">
      <c r="D82" s="1328"/>
    </row>
    <row r="83" spans="4:4">
      <c r="D83" s="1328"/>
    </row>
    <row r="84" spans="4:4">
      <c r="D84" s="1328"/>
    </row>
    <row r="85" spans="4:4">
      <c r="D85" s="1328"/>
    </row>
    <row r="86" spans="4:4">
      <c r="D86" s="1328"/>
    </row>
    <row r="87" spans="4:4">
      <c r="D87" s="1328"/>
    </row>
    <row r="88" spans="4:4">
      <c r="D88" s="1328"/>
    </row>
    <row r="89" spans="4:4">
      <c r="D89" s="1328"/>
    </row>
    <row r="90" spans="4:4">
      <c r="D90" s="1328"/>
    </row>
    <row r="91" spans="4:4">
      <c r="D91" s="1328"/>
    </row>
    <row r="92" spans="4:4">
      <c r="D92" s="1328"/>
    </row>
    <row r="93" spans="4:4">
      <c r="D93" s="1328"/>
    </row>
    <row r="94" spans="4:4">
      <c r="D94" s="1328"/>
    </row>
    <row r="95" spans="4:4">
      <c r="D95" s="1328"/>
    </row>
    <row r="96" spans="4:4">
      <c r="D96" s="1328"/>
    </row>
    <row r="97" spans="4:4">
      <c r="D97" s="1328"/>
    </row>
    <row r="98" spans="4:4">
      <c r="D98" s="1328"/>
    </row>
    <row r="99" spans="4:4">
      <c r="D99" s="1328"/>
    </row>
    <row r="100" spans="4:4">
      <c r="D100" s="1328"/>
    </row>
    <row r="101" spans="4:4">
      <c r="D101" s="1328"/>
    </row>
    <row r="102" spans="4:4">
      <c r="D102" s="1328"/>
    </row>
    <row r="103" spans="4:4">
      <c r="D103" s="1328"/>
    </row>
    <row r="104" spans="4:4">
      <c r="D104" s="1328"/>
    </row>
    <row r="105" spans="4:4">
      <c r="D105" s="1328"/>
    </row>
    <row r="106" spans="4:4">
      <c r="D106" s="1328"/>
    </row>
    <row r="107" spans="4:4">
      <c r="D107" s="1328"/>
    </row>
    <row r="108" spans="4:4">
      <c r="D108" s="1328"/>
    </row>
    <row r="109" spans="4:4">
      <c r="D109" s="1328"/>
    </row>
    <row r="110" spans="4:4">
      <c r="D110" s="1328"/>
    </row>
    <row r="111" spans="4:4">
      <c r="D111" s="1328"/>
    </row>
    <row r="112" spans="4:4">
      <c r="D112" s="1328"/>
    </row>
    <row r="113" spans="4:4">
      <c r="D113" s="1328"/>
    </row>
    <row r="114" spans="4:4">
      <c r="D114" s="1328"/>
    </row>
    <row r="115" spans="4:4">
      <c r="D115" s="1328"/>
    </row>
    <row r="116" spans="4:4">
      <c r="D116" s="1328"/>
    </row>
    <row r="117" spans="4:4">
      <c r="D117" s="1328"/>
    </row>
    <row r="118" spans="4:4">
      <c r="D118" s="1328"/>
    </row>
    <row r="119" spans="4:4">
      <c r="D119" s="1328"/>
    </row>
    <row r="120" spans="4:4">
      <c r="D120" s="1328"/>
    </row>
    <row r="121" spans="4:4">
      <c r="D121" s="1328"/>
    </row>
    <row r="122" spans="4:4">
      <c r="D122" s="1328"/>
    </row>
    <row r="123" spans="4:4">
      <c r="D123" s="1328"/>
    </row>
    <row r="124" spans="4:4">
      <c r="D124" s="1328"/>
    </row>
    <row r="125" spans="4:4">
      <c r="D125" s="1328"/>
    </row>
    <row r="126" spans="4:4">
      <c r="D126" s="1328"/>
    </row>
    <row r="127" spans="4:4">
      <c r="D127" s="1328"/>
    </row>
    <row r="128" spans="4:4">
      <c r="D128" s="1328"/>
    </row>
    <row r="129" spans="4:4">
      <c r="D129" s="1328"/>
    </row>
    <row r="130" spans="4:4">
      <c r="D130" s="1328"/>
    </row>
    <row r="131" spans="4:4">
      <c r="D131" s="1328"/>
    </row>
    <row r="132" spans="4:4">
      <c r="D132" s="1328"/>
    </row>
    <row r="133" spans="4:4">
      <c r="D133" s="1328"/>
    </row>
    <row r="134" spans="4:4">
      <c r="D134" s="1328"/>
    </row>
    <row r="135" spans="4:4">
      <c r="D135" s="1328"/>
    </row>
    <row r="136" spans="4:4">
      <c r="D136" s="1328"/>
    </row>
    <row r="137" spans="4:4">
      <c r="D137" s="1328"/>
    </row>
    <row r="138" spans="4:4">
      <c r="D138" s="1328"/>
    </row>
    <row r="139" spans="4:4">
      <c r="D139" s="1328"/>
    </row>
    <row r="140" spans="4:4">
      <c r="D140" s="1328"/>
    </row>
    <row r="141" spans="4:4">
      <c r="D141" s="1328"/>
    </row>
    <row r="142" spans="4:4">
      <c r="D142" s="1328"/>
    </row>
    <row r="143" spans="4:4">
      <c r="D143" s="1328"/>
    </row>
    <row r="144" spans="4:4">
      <c r="D144" s="1328"/>
    </row>
    <row r="145" spans="4:4">
      <c r="D145" s="1328"/>
    </row>
    <row r="146" spans="4:4">
      <c r="D146" s="1328"/>
    </row>
    <row r="147" spans="4:4">
      <c r="D147" s="1328"/>
    </row>
    <row r="148" spans="4:4">
      <c r="D148" s="1328"/>
    </row>
    <row r="149" spans="4:4">
      <c r="D149" s="1328"/>
    </row>
    <row r="150" spans="4:4">
      <c r="D150" s="1328"/>
    </row>
    <row r="151" spans="4:4">
      <c r="D151" s="1328"/>
    </row>
    <row r="152" spans="4:4">
      <c r="D152" s="1328"/>
    </row>
    <row r="153" spans="4:4">
      <c r="D153" s="1328"/>
    </row>
    <row r="154" spans="4:4">
      <c r="D154" s="1328"/>
    </row>
    <row r="155" spans="4:4">
      <c r="D155" s="1328"/>
    </row>
    <row r="156" spans="4:4">
      <c r="D156" s="1328"/>
    </row>
    <row r="157" spans="4:4">
      <c r="D157" s="1328"/>
    </row>
    <row r="158" spans="4:4">
      <c r="D158" s="1328"/>
    </row>
    <row r="159" spans="4:4">
      <c r="D159" s="1328"/>
    </row>
    <row r="160" spans="4:4">
      <c r="D160" s="1328"/>
    </row>
    <row r="161" spans="4:4">
      <c r="D161" s="1328"/>
    </row>
    <row r="162" spans="4:4">
      <c r="D162" s="1328"/>
    </row>
    <row r="163" spans="4:4">
      <c r="D163" s="1328"/>
    </row>
    <row r="164" spans="4:4">
      <c r="D164" s="1328"/>
    </row>
    <row r="165" spans="4:4">
      <c r="D165" s="1328"/>
    </row>
    <row r="166" spans="4:4">
      <c r="D166" s="1328"/>
    </row>
    <row r="167" spans="4:4">
      <c r="D167" s="1328"/>
    </row>
    <row r="168" spans="4:4">
      <c r="D168" s="1328"/>
    </row>
    <row r="169" spans="4:4">
      <c r="D169" s="1328"/>
    </row>
    <row r="170" spans="4:4">
      <c r="D170" s="1328"/>
    </row>
    <row r="171" spans="4:4">
      <c r="D171" s="1328"/>
    </row>
    <row r="172" spans="4:4">
      <c r="D172" s="1328"/>
    </row>
    <row r="173" spans="4:4">
      <c r="D173" s="1328"/>
    </row>
    <row r="174" spans="4:4">
      <c r="D174" s="1328"/>
    </row>
    <row r="175" spans="4:4">
      <c r="D175" s="1328"/>
    </row>
    <row r="176" spans="4:4">
      <c r="D176" s="1328"/>
    </row>
    <row r="177" spans="4:4">
      <c r="D177" s="1328"/>
    </row>
    <row r="178" spans="4:4">
      <c r="D178" s="1328"/>
    </row>
    <row r="179" spans="4:4">
      <c r="D179" s="1328"/>
    </row>
    <row r="180" spans="4:4">
      <c r="D180" s="1328"/>
    </row>
    <row r="181" spans="4:4">
      <c r="D181" s="1328"/>
    </row>
    <row r="182" spans="4:4">
      <c r="D182" s="1328"/>
    </row>
    <row r="183" spans="4:4">
      <c r="D183" s="1328"/>
    </row>
    <row r="184" spans="4:4">
      <c r="D184" s="1328"/>
    </row>
    <row r="185" spans="4:4">
      <c r="D185" s="1328"/>
    </row>
    <row r="186" spans="4:4">
      <c r="D186" s="1328"/>
    </row>
    <row r="187" spans="4:4">
      <c r="D187" s="1328"/>
    </row>
    <row r="188" spans="4:4">
      <c r="D188" s="1328"/>
    </row>
    <row r="189" spans="4:4">
      <c r="D189" s="1328"/>
    </row>
    <row r="190" spans="4:4">
      <c r="D190" s="1328"/>
    </row>
    <row r="191" spans="4:4">
      <c r="D191" s="1328"/>
    </row>
    <row r="192" spans="4:4">
      <c r="D192" s="1328"/>
    </row>
    <row r="193" spans="4:4">
      <c r="D193" s="1328"/>
    </row>
    <row r="194" spans="4:4">
      <c r="D194" s="1328"/>
    </row>
    <row r="195" spans="4:4">
      <c r="D195" s="1328"/>
    </row>
    <row r="196" spans="4:4">
      <c r="D196" s="1328"/>
    </row>
    <row r="197" spans="4:4">
      <c r="D197" s="1328"/>
    </row>
    <row r="198" spans="4:4">
      <c r="D198" s="1328"/>
    </row>
    <row r="199" spans="4:4">
      <c r="D199" s="1328"/>
    </row>
    <row r="200" spans="4:4">
      <c r="D200" s="1328"/>
    </row>
    <row r="201" spans="4:4">
      <c r="D201" s="1328"/>
    </row>
    <row r="202" spans="4:4">
      <c r="D202" s="1328"/>
    </row>
    <row r="203" spans="4:4">
      <c r="D203" s="1328"/>
    </row>
    <row r="204" spans="4:4">
      <c r="D204" s="1328"/>
    </row>
    <row r="205" spans="4:4">
      <c r="D205" s="1328"/>
    </row>
    <row r="206" spans="4:4">
      <c r="D206" s="1328"/>
    </row>
    <row r="207" spans="4:4">
      <c r="D207" s="1328"/>
    </row>
    <row r="208" spans="4:4">
      <c r="D208" s="1328"/>
    </row>
    <row r="209" spans="4:4">
      <c r="D209" s="1328"/>
    </row>
    <row r="210" spans="4:4">
      <c r="D210" s="1328"/>
    </row>
    <row r="211" spans="4:4">
      <c r="D211" s="1328"/>
    </row>
    <row r="212" spans="4:4">
      <c r="D212" s="1328"/>
    </row>
    <row r="213" spans="4:4">
      <c r="D213" s="1328"/>
    </row>
    <row r="214" spans="4:4">
      <c r="D214" s="1328"/>
    </row>
    <row r="215" spans="4:4">
      <c r="D215" s="1328"/>
    </row>
    <row r="216" spans="4:4">
      <c r="D216" s="1328"/>
    </row>
    <row r="217" spans="4:4">
      <c r="D217" s="1328"/>
    </row>
    <row r="218" spans="4:4">
      <c r="D218" s="1328"/>
    </row>
    <row r="219" spans="4:4">
      <c r="D219" s="1328"/>
    </row>
    <row r="220" spans="4:4">
      <c r="D220" s="1328"/>
    </row>
    <row r="221" spans="4:4">
      <c r="D221" s="1328"/>
    </row>
    <row r="222" spans="4:4">
      <c r="D222" s="1328"/>
    </row>
    <row r="223" spans="4:4">
      <c r="D223" s="1328"/>
    </row>
    <row r="224" spans="4:4">
      <c r="D224" s="1328"/>
    </row>
    <row r="225" spans="4:4">
      <c r="D225" s="1328"/>
    </row>
    <row r="226" spans="4:4">
      <c r="D226" s="1328"/>
    </row>
    <row r="227" spans="4:4">
      <c r="D227" s="1328"/>
    </row>
    <row r="228" spans="4:4">
      <c r="D228" s="1328"/>
    </row>
    <row r="229" spans="4:4">
      <c r="D229" s="1328"/>
    </row>
    <row r="230" spans="4:4">
      <c r="D230" s="1328"/>
    </row>
    <row r="231" spans="4:4">
      <c r="D231" s="1328"/>
    </row>
    <row r="232" spans="4:4">
      <c r="D232" s="1328"/>
    </row>
    <row r="233" spans="4:4">
      <c r="D233" s="1328"/>
    </row>
    <row r="234" spans="4:4">
      <c r="D234" s="1328"/>
    </row>
    <row r="235" spans="4:4">
      <c r="D235" s="1328"/>
    </row>
    <row r="236" spans="4:4">
      <c r="D236" s="1328"/>
    </row>
    <row r="237" spans="4:4">
      <c r="D237" s="1328"/>
    </row>
    <row r="238" spans="4:4">
      <c r="D238" s="1328"/>
    </row>
    <row r="239" spans="4:4">
      <c r="D239" s="1328"/>
    </row>
    <row r="240" spans="4:4">
      <c r="D240" s="1328"/>
    </row>
    <row r="241" spans="4:4">
      <c r="D241" s="1328"/>
    </row>
    <row r="242" spans="4:4">
      <c r="D242" s="1328"/>
    </row>
    <row r="243" spans="4:4">
      <c r="D243" s="1328"/>
    </row>
    <row r="244" spans="4:4">
      <c r="D244" s="1328"/>
    </row>
    <row r="245" spans="4:4">
      <c r="D245" s="1328"/>
    </row>
    <row r="246" spans="4:4">
      <c r="D246" s="1328"/>
    </row>
    <row r="247" spans="4:4">
      <c r="D247" s="1328"/>
    </row>
    <row r="248" spans="4:4">
      <c r="D248" s="1328"/>
    </row>
    <row r="249" spans="4:4">
      <c r="D249" s="1328"/>
    </row>
    <row r="250" spans="4:4">
      <c r="D250" s="1328"/>
    </row>
    <row r="251" spans="4:4">
      <c r="D251" s="1328"/>
    </row>
    <row r="252" spans="4:4">
      <c r="D252" s="1328"/>
    </row>
    <row r="253" spans="4:4">
      <c r="D253" s="1328"/>
    </row>
    <row r="254" spans="4:4">
      <c r="D254" s="1328"/>
    </row>
    <row r="255" spans="4:4">
      <c r="D255" s="1328"/>
    </row>
    <row r="256" spans="4:4">
      <c r="D256" s="1328"/>
    </row>
    <row r="257" spans="4:4">
      <c r="D257" s="1328"/>
    </row>
    <row r="258" spans="4:4">
      <c r="D258" s="1328"/>
    </row>
    <row r="259" spans="4:4">
      <c r="D259" s="1328"/>
    </row>
    <row r="260" spans="4:4">
      <c r="D260" s="1328"/>
    </row>
    <row r="261" spans="4:4">
      <c r="D261" s="1328"/>
    </row>
    <row r="262" spans="4:4">
      <c r="D262" s="1328"/>
    </row>
    <row r="263" spans="4:4">
      <c r="D263" s="1328"/>
    </row>
    <row r="264" spans="4:4">
      <c r="D264" s="1328"/>
    </row>
    <row r="265" spans="4:4">
      <c r="D265" s="1328"/>
    </row>
    <row r="266" spans="4:4">
      <c r="D266" s="1328"/>
    </row>
    <row r="267" spans="4:4">
      <c r="D267" s="1328"/>
    </row>
    <row r="268" spans="4:4">
      <c r="D268" s="1328"/>
    </row>
    <row r="269" spans="4:4">
      <c r="D269" s="1328"/>
    </row>
    <row r="270" spans="4:4">
      <c r="D270" s="1328"/>
    </row>
    <row r="271" spans="4:4">
      <c r="D271" s="1328"/>
    </row>
    <row r="272" spans="4:4">
      <c r="D272" s="1328"/>
    </row>
    <row r="273" spans="4:4">
      <c r="D273" s="1328"/>
    </row>
    <row r="274" spans="4:4">
      <c r="D274" s="1328"/>
    </row>
    <row r="275" spans="4:4">
      <c r="D275" s="1328"/>
    </row>
    <row r="276" spans="4:4">
      <c r="D276" s="1328"/>
    </row>
    <row r="277" spans="4:4">
      <c r="D277" s="1328"/>
    </row>
    <row r="278" spans="4:4">
      <c r="D278" s="1328"/>
    </row>
    <row r="279" spans="4:4">
      <c r="D279" s="1328"/>
    </row>
    <row r="280" spans="4:4">
      <c r="D280" s="1328"/>
    </row>
    <row r="281" spans="4:4">
      <c r="D281" s="1328"/>
    </row>
    <row r="282" spans="4:4">
      <c r="D282" s="1328"/>
    </row>
    <row r="283" spans="4:4">
      <c r="D283" s="1328"/>
    </row>
    <row r="284" spans="4:4">
      <c r="D284" s="1328"/>
    </row>
    <row r="285" spans="4:4">
      <c r="D285" s="1328"/>
    </row>
    <row r="286" spans="4:4">
      <c r="D286" s="1328"/>
    </row>
    <row r="287" spans="4:4">
      <c r="D287" s="1328"/>
    </row>
    <row r="288" spans="4:4">
      <c r="D288" s="1328"/>
    </row>
    <row r="289" spans="4:4">
      <c r="D289" s="1328"/>
    </row>
    <row r="290" spans="4:4">
      <c r="D290" s="1328"/>
    </row>
    <row r="291" spans="4:4">
      <c r="D291" s="1328"/>
    </row>
    <row r="292" spans="4:4">
      <c r="D292" s="1328"/>
    </row>
    <row r="293" spans="4:4">
      <c r="D293" s="1328"/>
    </row>
    <row r="294" spans="4:4">
      <c r="D294" s="1328"/>
    </row>
    <row r="295" spans="4:4">
      <c r="D295" s="1328"/>
    </row>
    <row r="296" spans="4:4">
      <c r="D296" s="1328"/>
    </row>
    <row r="297" spans="4:4">
      <c r="D297" s="1328"/>
    </row>
    <row r="298" spans="4:4">
      <c r="D298" s="1328"/>
    </row>
    <row r="299" spans="4:4">
      <c r="D299" s="1328"/>
    </row>
    <row r="300" spans="4:4">
      <c r="D300" s="1328"/>
    </row>
    <row r="301" spans="4:4">
      <c r="D301" s="1328"/>
    </row>
    <row r="302" spans="4:4">
      <c r="D302" s="1328"/>
    </row>
    <row r="303" spans="4:4">
      <c r="D303" s="1328"/>
    </row>
    <row r="304" spans="4:4">
      <c r="D304" s="1328"/>
    </row>
    <row r="305" spans="4:4">
      <c r="D305" s="1328"/>
    </row>
    <row r="306" spans="4:4">
      <c r="D306" s="1328"/>
    </row>
    <row r="307" spans="4:4">
      <c r="D307" s="1328"/>
    </row>
    <row r="308" spans="4:4">
      <c r="D308" s="1328"/>
    </row>
    <row r="309" spans="4:4">
      <c r="D309" s="1328"/>
    </row>
    <row r="310" spans="4:4">
      <c r="D310" s="1328"/>
    </row>
    <row r="311" spans="4:4">
      <c r="D311" s="1328"/>
    </row>
    <row r="312" spans="4:4">
      <c r="D312" s="1328"/>
    </row>
    <row r="313" spans="4:4">
      <c r="D313" s="1328"/>
    </row>
    <row r="314" spans="4:4">
      <c r="D314" s="1328"/>
    </row>
    <row r="315" spans="4:4">
      <c r="D315" s="1328"/>
    </row>
    <row r="316" spans="4:4">
      <c r="D316" s="1328"/>
    </row>
    <row r="317" spans="4:4">
      <c r="D317" s="1328"/>
    </row>
    <row r="318" spans="4:4">
      <c r="D318" s="1328"/>
    </row>
    <row r="319" spans="4:4">
      <c r="D319" s="1328"/>
    </row>
    <row r="320" spans="4:4">
      <c r="D320" s="1328"/>
    </row>
    <row r="321" spans="4:4">
      <c r="D321" s="1328"/>
    </row>
    <row r="322" spans="4:4">
      <c r="D322" s="1328"/>
    </row>
    <row r="323" spans="4:4">
      <c r="D323" s="1328"/>
    </row>
    <row r="324" spans="4:4">
      <c r="D324" s="1328"/>
    </row>
    <row r="325" spans="4:4">
      <c r="D325" s="1328"/>
    </row>
    <row r="326" spans="4:4">
      <c r="D326" s="1328"/>
    </row>
    <row r="327" spans="4:4">
      <c r="D327" s="1328"/>
    </row>
    <row r="328" spans="4:4">
      <c r="D328" s="1328"/>
    </row>
    <row r="329" spans="4:4">
      <c r="D329" s="1328"/>
    </row>
    <row r="330" spans="4:4">
      <c r="D330" s="1328"/>
    </row>
    <row r="331" spans="4:4">
      <c r="D331" s="1328"/>
    </row>
    <row r="332" spans="4:4">
      <c r="D332" s="1328"/>
    </row>
    <row r="333" spans="4:4">
      <c r="D333" s="1328"/>
    </row>
    <row r="334" spans="4:4">
      <c r="D334" s="1328"/>
    </row>
    <row r="335" spans="4:4">
      <c r="D335" s="1328"/>
    </row>
    <row r="336" spans="4:4">
      <c r="D336" s="1328"/>
    </row>
    <row r="337" spans="4:4">
      <c r="D337" s="1328"/>
    </row>
    <row r="338" spans="4:4">
      <c r="D338" s="1328"/>
    </row>
    <row r="339" spans="4:4">
      <c r="D339" s="1328"/>
    </row>
    <row r="340" spans="4:4">
      <c r="D340" s="1328"/>
    </row>
    <row r="341" spans="4:4">
      <c r="D341" s="1328"/>
    </row>
    <row r="342" spans="4:4">
      <c r="D342" s="1328"/>
    </row>
    <row r="343" spans="4:4">
      <c r="D343" s="1328"/>
    </row>
    <row r="344" spans="4:4">
      <c r="D344" s="1328"/>
    </row>
    <row r="345" spans="4:4">
      <c r="D345" s="1328"/>
    </row>
    <row r="346" spans="4:4">
      <c r="D346" s="1328"/>
    </row>
    <row r="347" spans="4:4">
      <c r="D347" s="1328"/>
    </row>
    <row r="348" spans="4:4">
      <c r="D348" s="1328"/>
    </row>
    <row r="349" spans="4:4">
      <c r="D349" s="1328"/>
    </row>
    <row r="350" spans="4:4">
      <c r="D350" s="1328"/>
    </row>
    <row r="351" spans="4:4">
      <c r="D351" s="1328"/>
    </row>
    <row r="352" spans="4:4">
      <c r="D352" s="1328"/>
    </row>
    <row r="353" spans="4:4">
      <c r="D353" s="1328"/>
    </row>
    <row r="354" spans="4:4">
      <c r="D354" s="1328"/>
    </row>
    <row r="355" spans="4:4">
      <c r="D355" s="1328"/>
    </row>
    <row r="356" spans="4:4">
      <c r="D356" s="1328"/>
    </row>
    <row r="357" spans="4:4">
      <c r="D357" s="1328"/>
    </row>
    <row r="358" spans="4:4">
      <c r="D358" s="1328"/>
    </row>
    <row r="359" spans="4:4">
      <c r="D359" s="1328"/>
    </row>
    <row r="360" spans="4:4">
      <c r="D360" s="1328"/>
    </row>
    <row r="361" spans="4:4">
      <c r="D361" s="1328"/>
    </row>
    <row r="362" spans="4:4">
      <c r="D362" s="1328"/>
    </row>
    <row r="363" spans="4:4">
      <c r="D363" s="1328"/>
    </row>
    <row r="364" spans="4:4">
      <c r="D364" s="1328"/>
    </row>
    <row r="365" spans="4:4">
      <c r="D365" s="1328"/>
    </row>
    <row r="366" spans="4:4">
      <c r="D366" s="1328"/>
    </row>
    <row r="367" spans="4:4">
      <c r="D367" s="1328"/>
    </row>
    <row r="368" spans="4:4">
      <c r="D368" s="1328"/>
    </row>
    <row r="369" spans="4:4">
      <c r="D369" s="1328"/>
    </row>
    <row r="370" spans="4:4">
      <c r="D370" s="1328"/>
    </row>
    <row r="371" spans="4:4">
      <c r="D371" s="1328"/>
    </row>
    <row r="372" spans="4:4">
      <c r="D372" s="1328"/>
    </row>
    <row r="373" spans="4:4">
      <c r="D373" s="1328"/>
    </row>
    <row r="374" spans="4:4">
      <c r="D374" s="1328"/>
    </row>
    <row r="375" spans="4:4">
      <c r="D375" s="1328"/>
    </row>
    <row r="376" spans="4:4">
      <c r="D376" s="1328"/>
    </row>
    <row r="377" spans="4:4">
      <c r="D377" s="1328"/>
    </row>
    <row r="378" spans="4:4">
      <c r="D378" s="1328"/>
    </row>
    <row r="379" spans="4:4">
      <c r="D379" s="1328"/>
    </row>
    <row r="380" spans="4:4">
      <c r="D380" s="1328"/>
    </row>
    <row r="381" spans="4:4">
      <c r="D381" s="1328"/>
    </row>
    <row r="382" spans="4:4">
      <c r="D382" s="1328"/>
    </row>
    <row r="383" spans="4:4">
      <c r="D383" s="1328"/>
    </row>
    <row r="384" spans="4:4">
      <c r="D384" s="1328"/>
    </row>
    <row r="385" spans="4:4">
      <c r="D385" s="1328"/>
    </row>
    <row r="386" spans="4:4">
      <c r="D386" s="1328"/>
    </row>
    <row r="387" spans="4:4">
      <c r="D387" s="1328"/>
    </row>
    <row r="388" spans="4:4">
      <c r="D388" s="1328"/>
    </row>
    <row r="389" spans="4:4">
      <c r="D389" s="1328"/>
    </row>
    <row r="390" spans="4:4">
      <c r="D390" s="1328"/>
    </row>
    <row r="391" spans="4:4">
      <c r="D391" s="1328"/>
    </row>
    <row r="392" spans="4:4">
      <c r="D392" s="1328"/>
    </row>
    <row r="393" spans="4:4">
      <c r="D393" s="1328"/>
    </row>
    <row r="394" spans="4:4">
      <c r="D394" s="1328"/>
    </row>
    <row r="395" spans="4:4">
      <c r="D395" s="1328"/>
    </row>
    <row r="396" spans="4:4">
      <c r="D396" s="1328"/>
    </row>
    <row r="397" spans="4:4">
      <c r="D397" s="1328"/>
    </row>
    <row r="398" spans="4:4">
      <c r="D398" s="1328"/>
    </row>
    <row r="399" spans="4:4">
      <c r="D399" s="1328"/>
    </row>
    <row r="400" spans="4:4">
      <c r="D400" s="1328"/>
    </row>
    <row r="401" spans="4:4">
      <c r="D401" s="1328"/>
    </row>
    <row r="402" spans="4:4">
      <c r="D402" s="1328"/>
    </row>
    <row r="403" spans="4:4">
      <c r="D403" s="1328"/>
    </row>
    <row r="404" spans="4:4">
      <c r="D404" s="1328"/>
    </row>
    <row r="405" spans="4:4">
      <c r="D405" s="1328"/>
    </row>
    <row r="406" spans="4:4">
      <c r="D406" s="1328"/>
    </row>
    <row r="407" spans="4:4">
      <c r="D407" s="1328"/>
    </row>
    <row r="408" spans="4:4">
      <c r="D408" s="1328"/>
    </row>
    <row r="409" spans="4:4">
      <c r="D409" s="1328"/>
    </row>
    <row r="410" spans="4:4">
      <c r="D410" s="1328"/>
    </row>
    <row r="411" spans="4:4">
      <c r="D411" s="1328"/>
    </row>
    <row r="412" spans="4:4">
      <c r="D412" s="1328"/>
    </row>
    <row r="413" spans="4:4">
      <c r="D413" s="1328"/>
    </row>
    <row r="414" spans="4:4">
      <c r="D414" s="1328"/>
    </row>
    <row r="415" spans="4:4">
      <c r="D415" s="1328"/>
    </row>
    <row r="416" spans="4:4">
      <c r="D416" s="1328"/>
    </row>
    <row r="417" spans="4:4">
      <c r="D417" s="1328"/>
    </row>
    <row r="418" spans="4:4">
      <c r="D418" s="1328"/>
    </row>
    <row r="419" spans="4:4">
      <c r="D419" s="1328"/>
    </row>
    <row r="420" spans="4:4">
      <c r="D420" s="1328"/>
    </row>
    <row r="421" spans="4:4">
      <c r="D421" s="1328"/>
    </row>
    <row r="422" spans="4:4">
      <c r="D422" s="1328"/>
    </row>
    <row r="423" spans="4:4">
      <c r="D423" s="1328"/>
    </row>
    <row r="424" spans="4:4">
      <c r="D424" s="1328"/>
    </row>
    <row r="425" spans="4:4">
      <c r="D425" s="1328"/>
    </row>
    <row r="426" spans="4:4">
      <c r="D426" s="1328"/>
    </row>
    <row r="427" spans="4:4">
      <c r="D427" s="1328"/>
    </row>
    <row r="428" spans="4:4">
      <c r="D428" s="1328"/>
    </row>
    <row r="429" spans="4:4">
      <c r="D429" s="1328"/>
    </row>
    <row r="430" spans="4:4">
      <c r="D430" s="1328"/>
    </row>
    <row r="431" spans="4:4">
      <c r="D431" s="1328"/>
    </row>
    <row r="432" spans="4:4">
      <c r="D432" s="1328"/>
    </row>
    <row r="433" spans="4:4">
      <c r="D433" s="1328"/>
    </row>
    <row r="434" spans="4:4">
      <c r="D434" s="1328"/>
    </row>
    <row r="435" spans="4:4">
      <c r="D435" s="1328"/>
    </row>
    <row r="436" spans="4:4">
      <c r="D436" s="1328"/>
    </row>
    <row r="437" spans="4:4">
      <c r="D437" s="1328"/>
    </row>
    <row r="438" spans="4:4">
      <c r="D438" s="1328"/>
    </row>
    <row r="439" spans="4:4">
      <c r="D439" s="1328"/>
    </row>
    <row r="440" spans="4:4">
      <c r="D440" s="1328"/>
    </row>
    <row r="441" spans="4:4">
      <c r="D441" s="1328"/>
    </row>
    <row r="442" spans="4:4">
      <c r="D442" s="1328"/>
    </row>
    <row r="443" spans="4:4">
      <c r="D443" s="1328"/>
    </row>
    <row r="444" spans="4:4">
      <c r="D444" s="1328"/>
    </row>
    <row r="445" spans="4:4">
      <c r="D445" s="1328"/>
    </row>
    <row r="446" spans="4:4">
      <c r="D446" s="1328"/>
    </row>
    <row r="447" spans="4:4">
      <c r="D447" s="1328"/>
    </row>
    <row r="448" spans="4:4">
      <c r="D448" s="1328"/>
    </row>
    <row r="449" spans="4:4">
      <c r="D449" s="1328"/>
    </row>
    <row r="450" spans="4:4">
      <c r="D450" s="1328"/>
    </row>
    <row r="451" spans="4:4">
      <c r="D451" s="1328"/>
    </row>
  </sheetData>
  <mergeCells count="12">
    <mergeCell ref="E36:G36"/>
    <mergeCell ref="A1:H1"/>
    <mergeCell ref="A2:H2"/>
    <mergeCell ref="D3:H3"/>
    <mergeCell ref="F4:G4"/>
    <mergeCell ref="B5:H5"/>
    <mergeCell ref="B6:H6"/>
    <mergeCell ref="B7:H7"/>
    <mergeCell ref="B8:H8"/>
    <mergeCell ref="E32:G32"/>
    <mergeCell ref="E34:G34"/>
    <mergeCell ref="E35:G35"/>
  </mergeCells>
  <conditionalFormatting sqref="L11:L32 A11:A29">
    <cfRule type="cellIs" dxfId="1" priority="2" stopIfTrue="1" operator="lessThan">
      <formula>1</formula>
    </cfRule>
  </conditionalFormatting>
  <conditionalFormatting sqref="H11:H30">
    <cfRule type="cellIs" dxfId="0" priority="1" operator="lessThanOrEqual">
      <formula>0</formula>
    </cfRule>
  </conditionalFormatting>
  <pageMargins left="0.7" right="0.7" top="0.75" bottom="0.75" header="0.3" footer="0.3"/>
  <pageSetup paperSize="9" scale="95" orientation="landscape" r:id="rId1"/>
</worksheet>
</file>

<file path=xl/worksheets/sheet13.xml><?xml version="1.0" encoding="utf-8"?>
<worksheet xmlns="http://schemas.openxmlformats.org/spreadsheetml/2006/main" xmlns:r="http://schemas.openxmlformats.org/officeDocument/2006/relationships">
  <dimension ref="A1:S197"/>
  <sheetViews>
    <sheetView view="pageBreakPreview" topLeftCell="B50" zoomScaleSheetLayoutView="100" workbookViewId="0">
      <selection activeCell="J51" sqref="J51"/>
    </sheetView>
  </sheetViews>
  <sheetFormatPr defaultRowHeight="12.75"/>
  <cols>
    <col min="1" max="1" width="3.28515625" style="1139" customWidth="1"/>
    <col min="2" max="2" width="45.85546875" style="1033" customWidth="1"/>
    <col min="3" max="3" width="5.140625" style="1133" customWidth="1"/>
    <col min="4" max="4" width="2" style="1134" customWidth="1"/>
    <col min="5" max="5" width="5.85546875" style="1133" customWidth="1"/>
    <col min="6" max="7" width="7.28515625" style="1135" customWidth="1"/>
    <col min="8" max="8" width="12.85546875" style="1046" customWidth="1"/>
    <col min="9" max="9" width="8.5703125" style="1046" customWidth="1"/>
    <col min="10" max="10" width="9.28515625" style="1046" customWidth="1"/>
    <col min="11" max="11" width="11.42578125" style="1046" bestFit="1" customWidth="1"/>
    <col min="12" max="13" width="9.7109375" style="1046" hidden="1" customWidth="1"/>
    <col min="14" max="14" width="12.42578125" style="1046" hidden="1" customWidth="1"/>
    <col min="15" max="15" width="9.42578125" style="1033" bestFit="1" customWidth="1"/>
    <col min="16" max="16" width="9.85546875" style="1033" bestFit="1" customWidth="1"/>
    <col min="17" max="16384" width="9.140625" style="1033"/>
  </cols>
  <sheetData>
    <row r="1" spans="1:15" ht="15.75">
      <c r="A1" s="1572" t="s">
        <v>1118</v>
      </c>
      <c r="B1" s="1573"/>
      <c r="C1" s="1573"/>
      <c r="D1" s="1573"/>
      <c r="E1" s="1573"/>
      <c r="F1" s="1573"/>
      <c r="G1" s="1573"/>
      <c r="H1" s="1573"/>
      <c r="I1" s="1573"/>
      <c r="J1" s="1573"/>
      <c r="K1" s="1573"/>
      <c r="L1" s="1121"/>
      <c r="M1" s="1121"/>
      <c r="N1" s="1121"/>
    </row>
    <row r="2" spans="1:15" ht="104.25" customHeight="1">
      <c r="A2" s="1574" t="s">
        <v>1264</v>
      </c>
      <c r="B2" s="1575"/>
      <c r="C2" s="1575"/>
      <c r="D2" s="1575"/>
      <c r="E2" s="1575"/>
      <c r="F2" s="1575"/>
      <c r="G2" s="1575"/>
      <c r="H2" s="1575"/>
      <c r="I2" s="1575"/>
      <c r="J2" s="1575"/>
      <c r="K2" s="1576"/>
      <c r="L2" s="1122"/>
      <c r="M2" s="1122"/>
      <c r="N2" s="1122"/>
      <c r="O2" s="1046">
        <f>K87</f>
        <v>219668</v>
      </c>
    </row>
    <row r="3" spans="1:15">
      <c r="A3" s="1577" t="s">
        <v>1119</v>
      </c>
      <c r="B3" s="1578" t="s">
        <v>156</v>
      </c>
      <c r="C3" s="1578" t="s">
        <v>157</v>
      </c>
      <c r="D3" s="1578"/>
      <c r="E3" s="1578"/>
      <c r="F3" s="1579" t="s">
        <v>158</v>
      </c>
      <c r="G3" s="1579"/>
      <c r="H3" s="1579"/>
      <c r="I3" s="1570" t="s">
        <v>159</v>
      </c>
      <c r="J3" s="1570" t="s">
        <v>160</v>
      </c>
      <c r="K3" s="1580" t="s">
        <v>161</v>
      </c>
      <c r="L3" s="1569" t="s">
        <v>1120</v>
      </c>
      <c r="M3" s="1570" t="s">
        <v>1121</v>
      </c>
      <c r="N3" s="1570"/>
    </row>
    <row r="4" spans="1:15">
      <c r="A4" s="1577"/>
      <c r="B4" s="1578"/>
      <c r="C4" s="1578"/>
      <c r="D4" s="1578"/>
      <c r="E4" s="1578"/>
      <c r="F4" s="1035" t="s">
        <v>39</v>
      </c>
      <c r="G4" s="1035" t="s">
        <v>98</v>
      </c>
      <c r="H4" s="1035" t="s">
        <v>162</v>
      </c>
      <c r="I4" s="1570"/>
      <c r="J4" s="1570"/>
      <c r="K4" s="1580"/>
      <c r="L4" s="1569"/>
      <c r="M4" s="1570"/>
      <c r="N4" s="1570"/>
    </row>
    <row r="5" spans="1:15" s="1125" customFormat="1">
      <c r="A5" s="1123">
        <v>1</v>
      </c>
      <c r="B5" s="1123">
        <f>A5+1</f>
        <v>2</v>
      </c>
      <c r="C5" s="1571">
        <f>B5+1</f>
        <v>3</v>
      </c>
      <c r="D5" s="1571"/>
      <c r="E5" s="1571"/>
      <c r="F5" s="1027">
        <f>C5+1</f>
        <v>4</v>
      </c>
      <c r="G5" s="1027">
        <v>5</v>
      </c>
      <c r="H5" s="1027">
        <v>6</v>
      </c>
      <c r="I5" s="1027">
        <v>7</v>
      </c>
      <c r="J5" s="1027">
        <v>8</v>
      </c>
      <c r="K5" s="1027">
        <v>9</v>
      </c>
      <c r="L5" s="1124">
        <f>K5+1</f>
        <v>10</v>
      </c>
      <c r="M5" s="1027">
        <f>L5+1</f>
        <v>11</v>
      </c>
      <c r="N5" s="1027">
        <f>M5+1</f>
        <v>12</v>
      </c>
    </row>
    <row r="6" spans="1:15" ht="31.5" customHeight="1">
      <c r="A6" s="1025">
        <v>1</v>
      </c>
      <c r="B6" s="1563" t="s">
        <v>1122</v>
      </c>
      <c r="C6" s="1563"/>
      <c r="D6" s="1563"/>
      <c r="E6" s="1563"/>
      <c r="F6" s="1563"/>
      <c r="G6" s="1563"/>
      <c r="H6" s="1563"/>
      <c r="I6" s="1563"/>
      <c r="J6" s="1030"/>
      <c r="K6" s="1030"/>
      <c r="L6" s="1126"/>
      <c r="M6" s="1127"/>
      <c r="N6" s="1127"/>
    </row>
    <row r="7" spans="1:15">
      <c r="A7" s="1025"/>
      <c r="B7" s="1026" t="s">
        <v>1123</v>
      </c>
      <c r="C7" s="1027"/>
      <c r="D7" s="1027"/>
      <c r="E7" s="1027"/>
      <c r="F7" s="1027"/>
      <c r="G7" s="1028"/>
      <c r="H7" s="1028"/>
      <c r="I7" s="1029"/>
      <c r="J7" s="1030"/>
      <c r="K7" s="1030"/>
      <c r="L7" s="1031"/>
      <c r="M7" s="1032"/>
      <c r="N7" s="1032"/>
    </row>
    <row r="8" spans="1:15">
      <c r="A8" s="1025"/>
      <c r="B8" s="1034" t="s">
        <v>1124</v>
      </c>
      <c r="C8" s="1027">
        <v>1</v>
      </c>
      <c r="D8" s="1027" t="s">
        <v>163</v>
      </c>
      <c r="E8" s="1027">
        <v>1</v>
      </c>
      <c r="F8" s="1027">
        <v>40</v>
      </c>
      <c r="G8" s="1028">
        <v>0.6</v>
      </c>
      <c r="H8" s="1028">
        <v>0.15</v>
      </c>
      <c r="I8" s="1029">
        <f>H8*G8*F8*E8*C8</f>
        <v>3.5999999999999996</v>
      </c>
      <c r="J8" s="1030"/>
      <c r="K8" s="1030"/>
      <c r="L8" s="1031"/>
      <c r="M8" s="1032"/>
      <c r="N8" s="1032"/>
    </row>
    <row r="9" spans="1:15">
      <c r="A9" s="1025"/>
      <c r="B9" s="1034" t="s">
        <v>1125</v>
      </c>
      <c r="C9" s="1027">
        <v>1</v>
      </c>
      <c r="D9" s="1027" t="s">
        <v>163</v>
      </c>
      <c r="E9" s="1027">
        <v>1</v>
      </c>
      <c r="F9" s="1027">
        <v>130</v>
      </c>
      <c r="G9" s="1028">
        <v>0.6</v>
      </c>
      <c r="H9" s="1028">
        <v>0.15</v>
      </c>
      <c r="I9" s="1029">
        <f t="shared" ref="I9:I10" si="0">H9*G9*F9*E9*C9</f>
        <v>11.7</v>
      </c>
      <c r="J9" s="1030"/>
      <c r="K9" s="1030"/>
      <c r="L9" s="1031"/>
      <c r="M9" s="1032"/>
      <c r="N9" s="1032"/>
    </row>
    <row r="10" spans="1:15">
      <c r="A10" s="1025"/>
      <c r="B10" s="1034" t="s">
        <v>1126</v>
      </c>
      <c r="C10" s="1027">
        <v>1</v>
      </c>
      <c r="D10" s="1027" t="s">
        <v>163</v>
      </c>
      <c r="E10" s="1027">
        <v>1</v>
      </c>
      <c r="F10" s="1027">
        <v>80</v>
      </c>
      <c r="G10" s="1028">
        <v>0.6</v>
      </c>
      <c r="H10" s="1028">
        <v>0.15</v>
      </c>
      <c r="I10" s="1029">
        <f t="shared" si="0"/>
        <v>7.1999999999999993</v>
      </c>
      <c r="J10" s="1030"/>
      <c r="K10" s="1030"/>
      <c r="L10" s="1031"/>
      <c r="M10" s="1032"/>
      <c r="N10" s="1032"/>
    </row>
    <row r="11" spans="1:15">
      <c r="A11" s="1025"/>
      <c r="B11" s="1034" t="s">
        <v>971</v>
      </c>
      <c r="C11" s="1027" t="s">
        <v>1127</v>
      </c>
      <c r="D11" s="1027" t="s">
        <v>163</v>
      </c>
      <c r="E11" s="1128">
        <v>30</v>
      </c>
      <c r="F11" s="1028">
        <v>1.65</v>
      </c>
      <c r="G11" s="1028">
        <v>1.65</v>
      </c>
      <c r="H11" s="1028">
        <v>0.15</v>
      </c>
      <c r="I11" s="1029">
        <f>ROUND(H11*G11*F11*E11*PI()/4,2)</f>
        <v>9.6199999999999992</v>
      </c>
      <c r="J11" s="1030"/>
      <c r="K11" s="1030"/>
      <c r="L11" s="1031"/>
      <c r="M11" s="1032"/>
      <c r="N11" s="1032"/>
    </row>
    <row r="12" spans="1:15">
      <c r="A12" s="1025"/>
      <c r="B12" s="1568"/>
      <c r="C12" s="1568"/>
      <c r="D12" s="1568"/>
      <c r="E12" s="1568"/>
      <c r="F12" s="1568"/>
      <c r="G12" s="1568"/>
      <c r="H12" s="1568"/>
      <c r="I12" s="1035">
        <f>SUM(I8:I11)</f>
        <v>32.119999999999997</v>
      </c>
      <c r="J12" s="1036">
        <f>'Datas P7'!G110</f>
        <v>2664.27</v>
      </c>
      <c r="K12" s="1036">
        <f>ROUND(J12*I12,0)</f>
        <v>85576</v>
      </c>
      <c r="L12" s="1037">
        <v>22</v>
      </c>
      <c r="M12" s="1038">
        <f>L12*I12</f>
        <v>706.64</v>
      </c>
      <c r="N12" s="1039"/>
    </row>
    <row r="13" spans="1:15" s="1125" customFormat="1">
      <c r="A13" s="1123"/>
      <c r="B13" s="1123"/>
      <c r="C13" s="1027"/>
      <c r="D13" s="1027"/>
      <c r="E13" s="1027"/>
      <c r="F13" s="1027"/>
      <c r="G13" s="1027"/>
      <c r="H13" s="1027"/>
      <c r="I13" s="1027"/>
      <c r="J13" s="1027"/>
      <c r="K13" s="1027"/>
      <c r="L13" s="1129"/>
      <c r="M13" s="1129"/>
      <c r="N13" s="1129"/>
    </row>
    <row r="14" spans="1:15" ht="53.25" customHeight="1">
      <c r="A14" s="1025">
        <v>2</v>
      </c>
      <c r="B14" s="1563" t="s">
        <v>1128</v>
      </c>
      <c r="C14" s="1563"/>
      <c r="D14" s="1563"/>
      <c r="E14" s="1563"/>
      <c r="F14" s="1563"/>
      <c r="G14" s="1563"/>
      <c r="H14" s="1563"/>
      <c r="I14" s="1563"/>
      <c r="J14" s="1030"/>
      <c r="K14" s="1030"/>
      <c r="L14" s="1126"/>
      <c r="M14" s="1127"/>
      <c r="N14" s="1127"/>
    </row>
    <row r="15" spans="1:15">
      <c r="A15" s="1025"/>
      <c r="B15" s="1130" t="s">
        <v>1129</v>
      </c>
      <c r="C15" s="1120"/>
      <c r="D15" s="1120"/>
      <c r="E15" s="1120"/>
      <c r="F15" s="1120"/>
      <c r="G15" s="1120"/>
      <c r="H15" s="1120"/>
      <c r="I15" s="1120"/>
      <c r="J15" s="1030"/>
      <c r="K15" s="1030"/>
      <c r="L15" s="1031"/>
      <c r="M15" s="1032"/>
      <c r="N15" s="1032"/>
    </row>
    <row r="16" spans="1:15">
      <c r="A16" s="1025"/>
      <c r="B16" s="1034" t="s">
        <v>1130</v>
      </c>
      <c r="C16" s="1027">
        <v>1</v>
      </c>
      <c r="D16" s="1027" t="s">
        <v>163</v>
      </c>
      <c r="E16" s="1027">
        <v>1</v>
      </c>
      <c r="F16" s="1028">
        <v>30</v>
      </c>
      <c r="G16" s="1028">
        <v>0.6</v>
      </c>
      <c r="H16" s="1028">
        <v>0.75</v>
      </c>
      <c r="I16" s="1040">
        <f>H16*G16*F16*E16*C16</f>
        <v>13.499999999999998</v>
      </c>
      <c r="J16" s="1030"/>
      <c r="K16" s="1030"/>
      <c r="L16" s="1031"/>
      <c r="M16" s="1032"/>
      <c r="N16" s="1032"/>
    </row>
    <row r="17" spans="1:18">
      <c r="A17" s="1025"/>
      <c r="B17" s="1034" t="s">
        <v>1131</v>
      </c>
      <c r="C17" s="1027">
        <v>1</v>
      </c>
      <c r="D17" s="1027" t="s">
        <v>163</v>
      </c>
      <c r="E17" s="1027">
        <v>1</v>
      </c>
      <c r="F17" s="1028">
        <f>130+30</f>
        <v>160</v>
      </c>
      <c r="G17" s="1028">
        <v>0.6</v>
      </c>
      <c r="H17" s="1028">
        <v>0.75</v>
      </c>
      <c r="I17" s="1040">
        <f>H17*G17*F17*E17*C17</f>
        <v>72</v>
      </c>
      <c r="J17" s="1030"/>
      <c r="K17" s="1030"/>
      <c r="L17" s="1031"/>
      <c r="M17" s="1032"/>
      <c r="N17" s="1032"/>
    </row>
    <row r="18" spans="1:18">
      <c r="A18" s="1025"/>
      <c r="B18" s="1034" t="s">
        <v>1132</v>
      </c>
      <c r="C18" s="1027">
        <v>1</v>
      </c>
      <c r="D18" s="1027" t="s">
        <v>163</v>
      </c>
      <c r="E18" s="1027">
        <v>1</v>
      </c>
      <c r="F18" s="1028">
        <v>180</v>
      </c>
      <c r="G18" s="1028">
        <v>0.6</v>
      </c>
      <c r="H18" s="1028">
        <v>0.75</v>
      </c>
      <c r="I18" s="1040">
        <f>H18*G18*F18*E18*C18</f>
        <v>80.999999999999986</v>
      </c>
      <c r="J18" s="1030"/>
      <c r="K18" s="1030"/>
      <c r="L18" s="1031"/>
      <c r="M18" s="1032"/>
      <c r="N18" s="1032"/>
    </row>
    <row r="19" spans="1:18">
      <c r="A19" s="1025"/>
      <c r="B19" s="1130" t="s">
        <v>1133</v>
      </c>
      <c r="C19" s="1120"/>
      <c r="D19" s="1120"/>
      <c r="E19" s="1120"/>
      <c r="F19" s="1120"/>
      <c r="G19" s="1120"/>
      <c r="H19" s="1120"/>
      <c r="I19" s="1120"/>
      <c r="J19" s="1030"/>
      <c r="K19" s="1030"/>
      <c r="L19" s="1031"/>
      <c r="M19" s="1032"/>
      <c r="N19" s="1032"/>
    </row>
    <row r="20" spans="1:18">
      <c r="A20" s="1025"/>
      <c r="B20" s="1034" t="s">
        <v>1134</v>
      </c>
      <c r="C20" s="1027">
        <v>1</v>
      </c>
      <c r="D20" s="1027" t="s">
        <v>163</v>
      </c>
      <c r="E20" s="1027">
        <v>1</v>
      </c>
      <c r="F20" s="1028">
        <v>40</v>
      </c>
      <c r="G20" s="1028">
        <v>0.6</v>
      </c>
      <c r="H20" s="1028">
        <v>0.75</v>
      </c>
      <c r="I20" s="1040">
        <f t="shared" ref="I20:I26" si="1">H20*G20*F20*E20*C20</f>
        <v>18</v>
      </c>
      <c r="J20" s="1030"/>
      <c r="K20" s="1030"/>
      <c r="L20" s="1031"/>
      <c r="M20" s="1032"/>
      <c r="N20" s="1032"/>
    </row>
    <row r="21" spans="1:18">
      <c r="A21" s="1025"/>
      <c r="B21" s="1034" t="s">
        <v>1125</v>
      </c>
      <c r="C21" s="1027">
        <v>1</v>
      </c>
      <c r="D21" s="1027" t="s">
        <v>163</v>
      </c>
      <c r="E21" s="1027">
        <v>1</v>
      </c>
      <c r="F21" s="1028">
        <v>130</v>
      </c>
      <c r="G21" s="1028">
        <v>0.6</v>
      </c>
      <c r="H21" s="1028">
        <v>0.75</v>
      </c>
      <c r="I21" s="1040">
        <f t="shared" si="1"/>
        <v>58.499999999999993</v>
      </c>
      <c r="J21" s="1030"/>
      <c r="K21" s="1030"/>
      <c r="L21" s="1031"/>
      <c r="M21" s="1032"/>
      <c r="N21" s="1032"/>
    </row>
    <row r="22" spans="1:18">
      <c r="A22" s="1025"/>
      <c r="B22" s="1034" t="s">
        <v>1259</v>
      </c>
      <c r="C22" s="1027">
        <v>1</v>
      </c>
      <c r="D22" s="1027" t="s">
        <v>163</v>
      </c>
      <c r="E22" s="1027">
        <v>6</v>
      </c>
      <c r="F22" s="1028">
        <v>30</v>
      </c>
      <c r="G22" s="1028">
        <v>0.6</v>
      </c>
      <c r="H22" s="1028">
        <v>0.75</v>
      </c>
      <c r="I22" s="1040">
        <f t="shared" si="1"/>
        <v>80.999999999999986</v>
      </c>
      <c r="J22" s="1030"/>
      <c r="K22" s="1030"/>
      <c r="L22" s="1031"/>
      <c r="M22" s="1032"/>
      <c r="N22" s="1032"/>
    </row>
    <row r="23" spans="1:18">
      <c r="A23" s="1025"/>
      <c r="B23" s="1034" t="s">
        <v>1135</v>
      </c>
      <c r="C23" s="1027">
        <v>1</v>
      </c>
      <c r="D23" s="1027" t="s">
        <v>163</v>
      </c>
      <c r="E23" s="1027">
        <v>1</v>
      </c>
      <c r="F23" s="1028">
        <v>30</v>
      </c>
      <c r="G23" s="1028">
        <v>0.6</v>
      </c>
      <c r="H23" s="1028">
        <v>0.75</v>
      </c>
      <c r="I23" s="1040">
        <f t="shared" si="1"/>
        <v>13.499999999999998</v>
      </c>
      <c r="J23" s="1030"/>
      <c r="K23" s="1030"/>
      <c r="L23" s="1031"/>
      <c r="M23" s="1032"/>
      <c r="N23" s="1032"/>
    </row>
    <row r="24" spans="1:18">
      <c r="A24" s="1025"/>
      <c r="B24" s="1034" t="s">
        <v>1136</v>
      </c>
      <c r="C24" s="1027">
        <v>1</v>
      </c>
      <c r="D24" s="1027" t="s">
        <v>163</v>
      </c>
      <c r="E24" s="1027">
        <v>1</v>
      </c>
      <c r="F24" s="1028">
        <v>60</v>
      </c>
      <c r="G24" s="1028">
        <v>0.6</v>
      </c>
      <c r="H24" s="1028">
        <v>0.75</v>
      </c>
      <c r="I24" s="1040">
        <f t="shared" si="1"/>
        <v>26.999999999999996</v>
      </c>
      <c r="J24" s="1030"/>
      <c r="K24" s="1030"/>
      <c r="L24" s="1031"/>
      <c r="M24" s="1032"/>
      <c r="N24" s="1032"/>
    </row>
    <row r="25" spans="1:18">
      <c r="A25" s="1025"/>
      <c r="B25" s="1034" t="s">
        <v>1137</v>
      </c>
      <c r="C25" s="1027">
        <v>1</v>
      </c>
      <c r="D25" s="1027" t="s">
        <v>163</v>
      </c>
      <c r="E25" s="1027">
        <v>1</v>
      </c>
      <c r="F25" s="1028">
        <v>30</v>
      </c>
      <c r="G25" s="1028">
        <v>0.6</v>
      </c>
      <c r="H25" s="1028">
        <v>0.75</v>
      </c>
      <c r="I25" s="1040">
        <f t="shared" si="1"/>
        <v>13.499999999999998</v>
      </c>
      <c r="J25" s="1030"/>
      <c r="K25" s="1030"/>
      <c r="L25" s="1031"/>
      <c r="M25" s="1032"/>
      <c r="N25" s="1032"/>
      <c r="R25" s="1033">
        <f>350+5*30</f>
        <v>500</v>
      </c>
    </row>
    <row r="26" spans="1:18">
      <c r="A26" s="1025"/>
      <c r="B26" s="1034" t="s">
        <v>1138</v>
      </c>
      <c r="C26" s="1027">
        <v>1</v>
      </c>
      <c r="D26" s="1027" t="s">
        <v>163</v>
      </c>
      <c r="E26" s="1027">
        <v>1</v>
      </c>
      <c r="F26" s="1028">
        <v>30</v>
      </c>
      <c r="G26" s="1028">
        <v>0.6</v>
      </c>
      <c r="H26" s="1028">
        <v>0.75</v>
      </c>
      <c r="I26" s="1040">
        <f t="shared" si="1"/>
        <v>13.499999999999998</v>
      </c>
      <c r="J26" s="1030"/>
      <c r="K26" s="1030"/>
      <c r="L26" s="1031"/>
      <c r="M26" s="1032"/>
      <c r="N26" s="1032"/>
      <c r="R26" s="1033">
        <f>720+5*30</f>
        <v>870</v>
      </c>
    </row>
    <row r="27" spans="1:18">
      <c r="A27" s="1025"/>
      <c r="B27" s="1034" t="s">
        <v>1139</v>
      </c>
      <c r="C27" s="1027" t="s">
        <v>1127</v>
      </c>
      <c r="D27" s="1027" t="s">
        <v>163</v>
      </c>
      <c r="E27" s="1027">
        <v>85</v>
      </c>
      <c r="F27" s="1028">
        <v>1.65</v>
      </c>
      <c r="G27" s="1028">
        <v>1.65</v>
      </c>
      <c r="H27" s="1028">
        <v>1</v>
      </c>
      <c r="I27" s="1040">
        <f>ROUND(H27*G27*F27*E27*PI()/4,2)</f>
        <v>181.75</v>
      </c>
      <c r="J27" s="1030"/>
      <c r="K27" s="1030"/>
      <c r="L27" s="1031"/>
      <c r="M27" s="1032"/>
      <c r="N27" s="1032"/>
    </row>
    <row r="28" spans="1:18">
      <c r="A28" s="1025"/>
      <c r="B28" s="1130" t="s">
        <v>1161</v>
      </c>
      <c r="C28" s="1027"/>
      <c r="D28" s="1027"/>
      <c r="E28" s="1027"/>
      <c r="F28" s="1028"/>
      <c r="G28" s="1028"/>
      <c r="H28" s="1028"/>
      <c r="I28" s="1040"/>
      <c r="J28" s="1030"/>
      <c r="K28" s="1030"/>
      <c r="L28" s="1031"/>
      <c r="M28" s="1041"/>
      <c r="N28" s="1032"/>
    </row>
    <row r="29" spans="1:18">
      <c r="A29" s="1025"/>
      <c r="B29" s="1034" t="s">
        <v>1140</v>
      </c>
      <c r="C29" s="1027">
        <v>1</v>
      </c>
      <c r="D29" s="1027" t="s">
        <v>163</v>
      </c>
      <c r="E29" s="1027">
        <v>1</v>
      </c>
      <c r="F29" s="1028">
        <v>400</v>
      </c>
      <c r="G29" s="1028">
        <v>0.9</v>
      </c>
      <c r="H29" s="1028">
        <v>1</v>
      </c>
      <c r="I29" s="1040">
        <f t="shared" ref="I29" si="2">H29*G29*F29*E29*C29</f>
        <v>360</v>
      </c>
      <c r="J29" s="1030"/>
      <c r="K29" s="1030"/>
      <c r="L29" s="1031"/>
      <c r="M29" s="1041"/>
      <c r="N29" s="1032"/>
    </row>
    <row r="30" spans="1:18">
      <c r="A30" s="1025"/>
      <c r="B30" s="1034" t="s">
        <v>1141</v>
      </c>
      <c r="C30" s="1027" t="s">
        <v>1127</v>
      </c>
      <c r="D30" s="1027" t="s">
        <v>163</v>
      </c>
      <c r="E30" s="1027">
        <f>F29/10</f>
        <v>40</v>
      </c>
      <c r="F30" s="1028">
        <v>2.2000000000000002</v>
      </c>
      <c r="G30" s="1028">
        <v>2.2000000000000002</v>
      </c>
      <c r="H30" s="1028">
        <v>1.1499999999999999</v>
      </c>
      <c r="I30" s="1040">
        <f>ROUND(H30*G30*F30*E30*PI()/4,2)</f>
        <v>174.86</v>
      </c>
      <c r="J30" s="1030"/>
      <c r="K30" s="1030"/>
      <c r="L30" s="1031"/>
      <c r="M30" s="1041"/>
      <c r="N30" s="1032"/>
      <c r="R30" s="1033">
        <f>1.2+0.35*2+0.3</f>
        <v>2.1999999999999997</v>
      </c>
    </row>
    <row r="31" spans="1:18">
      <c r="A31" s="1025"/>
      <c r="B31" s="1034"/>
      <c r="C31" s="1027"/>
      <c r="D31" s="1027"/>
      <c r="E31" s="1027"/>
      <c r="F31" s="1028"/>
      <c r="G31" s="1028"/>
      <c r="H31" s="1028"/>
      <c r="I31" s="1040">
        <f>SUM(I16:I30)</f>
        <v>1108.1100000000001</v>
      </c>
      <c r="J31" s="1030"/>
      <c r="K31" s="1030"/>
      <c r="L31" s="1031"/>
      <c r="M31" s="1041"/>
      <c r="N31" s="1032"/>
    </row>
    <row r="32" spans="1:18">
      <c r="A32" s="1025"/>
      <c r="B32" s="1042" t="s">
        <v>1268</v>
      </c>
      <c r="C32" s="1027"/>
      <c r="D32" s="1027"/>
      <c r="E32" s="1027"/>
      <c r="F32" s="1028"/>
      <c r="G32" s="1028"/>
      <c r="H32" s="1028"/>
      <c r="I32" s="1040">
        <f>I31*95%</f>
        <v>1052.7045000000001</v>
      </c>
      <c r="J32" s="1030"/>
      <c r="K32" s="1030"/>
      <c r="L32" s="1031"/>
      <c r="M32" s="1041"/>
      <c r="N32" s="1032"/>
    </row>
    <row r="33" spans="1:18">
      <c r="A33" s="1025"/>
      <c r="B33" s="1568"/>
      <c r="C33" s="1568"/>
      <c r="D33" s="1568"/>
      <c r="E33" s="1568"/>
      <c r="F33" s="1568"/>
      <c r="G33" s="1568"/>
      <c r="H33" s="1568"/>
      <c r="I33" s="1035">
        <f>I32</f>
        <v>1052.7045000000001</v>
      </c>
      <c r="J33" s="1036">
        <f>'Datas P7'!G20</f>
        <v>123.7</v>
      </c>
      <c r="K33" s="1036">
        <f>ROUND(J33*I33,0)</f>
        <v>130220</v>
      </c>
      <c r="L33" s="1037">
        <v>22</v>
      </c>
      <c r="M33" s="1038">
        <f>L33*I33</f>
        <v>23159.499</v>
      </c>
      <c r="N33" s="1039"/>
    </row>
    <row r="34" spans="1:18">
      <c r="A34" s="1025"/>
      <c r="B34" s="1043"/>
      <c r="C34" s="1027"/>
      <c r="D34" s="1027"/>
      <c r="E34" s="1027"/>
      <c r="F34" s="1028"/>
      <c r="G34" s="1028"/>
      <c r="H34" s="1028"/>
      <c r="I34" s="1035" t="s">
        <v>164</v>
      </c>
      <c r="J34" s="1030" t="s">
        <v>1142</v>
      </c>
      <c r="K34" s="1030"/>
      <c r="L34" s="1044"/>
      <c r="M34" s="1045"/>
      <c r="N34" s="1045"/>
    </row>
    <row r="35" spans="1:18" ht="32.25" customHeight="1">
      <c r="A35" s="1025">
        <v>3</v>
      </c>
      <c r="B35" s="1563" t="str">
        <f>'Datas P7'!C22</f>
        <v>Earthwork in excavation in Hard rock (blasting prohibited) with rock breakersin hard rock including breaking rock, loading , in tippers and disposal with all lifts and lead up to 1000m as per technical specifications 302.3.5</v>
      </c>
      <c r="C35" s="1563"/>
      <c r="D35" s="1563"/>
      <c r="E35" s="1563"/>
      <c r="F35" s="1563"/>
      <c r="G35" s="1563"/>
      <c r="H35" s="1563"/>
      <c r="I35" s="1563"/>
      <c r="J35" s="1030"/>
      <c r="K35" s="1030"/>
      <c r="L35" s="1126"/>
      <c r="M35" s="1127"/>
      <c r="N35" s="1127"/>
    </row>
    <row r="36" spans="1:18">
      <c r="A36" s="1025"/>
      <c r="B36" s="1130" t="s">
        <v>1266</v>
      </c>
      <c r="C36" s="1120"/>
      <c r="D36" s="1120"/>
      <c r="E36" s="1120"/>
      <c r="F36" s="1120"/>
      <c r="G36" s="1120"/>
      <c r="H36" s="1120"/>
      <c r="I36" s="1120"/>
      <c r="J36" s="1030"/>
      <c r="K36" s="1030"/>
      <c r="L36" s="1031"/>
      <c r="M36" s="1032"/>
      <c r="N36" s="1032"/>
    </row>
    <row r="37" spans="1:18">
      <c r="A37" s="1025"/>
      <c r="B37" s="1034" t="s">
        <v>1167</v>
      </c>
      <c r="C37" s="1027"/>
      <c r="D37" s="1027"/>
      <c r="E37" s="1027"/>
      <c r="F37" s="1028"/>
      <c r="G37" s="1028"/>
      <c r="H37" s="1028"/>
      <c r="I37" s="1040">
        <f>I31</f>
        <v>1108.1100000000001</v>
      </c>
      <c r="J37" s="1030"/>
      <c r="K37" s="1030"/>
      <c r="L37" s="1031"/>
      <c r="M37" s="1032"/>
      <c r="N37" s="1032"/>
    </row>
    <row r="38" spans="1:18">
      <c r="A38" s="1025"/>
      <c r="B38" s="1034" t="s">
        <v>1267</v>
      </c>
      <c r="C38" s="1027"/>
      <c r="D38" s="1027"/>
      <c r="E38" s="1027"/>
      <c r="F38" s="1028"/>
      <c r="G38" s="1028"/>
      <c r="H38" s="1028"/>
      <c r="I38" s="1040">
        <f>I37*5%</f>
        <v>55.405500000000011</v>
      </c>
      <c r="J38" s="1030"/>
      <c r="K38" s="1030"/>
      <c r="L38" s="1031"/>
      <c r="M38" s="1032"/>
      <c r="N38" s="1032"/>
    </row>
    <row r="39" spans="1:18">
      <c r="A39" s="1025"/>
      <c r="B39" s="1034"/>
      <c r="C39" s="1027"/>
      <c r="D39" s="1027"/>
      <c r="E39" s="1027"/>
      <c r="F39" s="1028"/>
      <c r="G39" s="1028"/>
      <c r="H39" s="1028"/>
      <c r="I39" s="1040">
        <f>I38</f>
        <v>55.405500000000011</v>
      </c>
      <c r="J39" s="1030">
        <f>'Datas P7'!G38</f>
        <v>1939.7875241000002</v>
      </c>
      <c r="K39" s="1036">
        <f>ROUND(J39*I39,0)</f>
        <v>107475</v>
      </c>
      <c r="L39" s="1031"/>
      <c r="M39" s="1032"/>
      <c r="N39" s="1032"/>
    </row>
    <row r="40" spans="1:18" ht="78" customHeight="1">
      <c r="A40" s="1025">
        <v>4</v>
      </c>
      <c r="B40" s="1563" t="s">
        <v>1143</v>
      </c>
      <c r="C40" s="1563"/>
      <c r="D40" s="1563"/>
      <c r="E40" s="1563"/>
      <c r="F40" s="1563"/>
      <c r="G40" s="1563"/>
      <c r="H40" s="1563"/>
      <c r="I40" s="1563"/>
      <c r="J40" s="1030"/>
      <c r="K40" s="1030"/>
      <c r="L40" s="1044"/>
      <c r="M40" s="1045"/>
      <c r="N40" s="1045"/>
    </row>
    <row r="41" spans="1:18">
      <c r="A41" s="1025"/>
      <c r="B41" s="1034" t="s">
        <v>1144</v>
      </c>
      <c r="C41" s="1027">
        <v>1</v>
      </c>
      <c r="D41" s="1027" t="s">
        <v>163</v>
      </c>
      <c r="E41" s="1027">
        <v>1</v>
      </c>
      <c r="F41" s="1028">
        <f>F29</f>
        <v>400</v>
      </c>
      <c r="G41" s="1028"/>
      <c r="H41" s="1028"/>
      <c r="I41" s="1028">
        <f>C41*E41*F41</f>
        <v>400</v>
      </c>
      <c r="J41" s="1030">
        <f>'Cost of RCC NP2-NP3 SS pipes '!I55</f>
        <v>2761.6284999999998</v>
      </c>
      <c r="K41" s="1036">
        <f>ROUND(J41*I41,0)</f>
        <v>1104651</v>
      </c>
      <c r="L41" s="1044"/>
      <c r="M41" s="1045"/>
      <c r="N41" s="1039"/>
    </row>
    <row r="42" spans="1:18" hidden="1">
      <c r="A42" s="1025"/>
      <c r="B42" s="1034" t="s">
        <v>1145</v>
      </c>
      <c r="C42" s="1027">
        <v>1</v>
      </c>
      <c r="D42" s="1027" t="s">
        <v>163</v>
      </c>
      <c r="E42" s="1027">
        <v>0</v>
      </c>
      <c r="F42" s="1028">
        <v>500</v>
      </c>
      <c r="G42" s="1028"/>
      <c r="H42" s="1028"/>
      <c r="I42" s="1028">
        <f>C42*E42*F42</f>
        <v>0</v>
      </c>
      <c r="J42" s="1030">
        <f>'[40]Cost of RCC NP2-NP3 SS pipes '!G15</f>
        <v>443.47339999999997</v>
      </c>
      <c r="K42" s="1036">
        <f>ROUND(J42*I42,0)</f>
        <v>0</v>
      </c>
      <c r="L42" s="1044"/>
      <c r="M42" s="1045"/>
      <c r="N42" s="1039"/>
    </row>
    <row r="43" spans="1:18" hidden="1">
      <c r="A43" s="1025"/>
      <c r="B43" s="1034" t="s">
        <v>1145</v>
      </c>
      <c r="C43" s="1027">
        <v>1</v>
      </c>
      <c r="D43" s="1027" t="s">
        <v>163</v>
      </c>
      <c r="E43" s="1027">
        <v>0</v>
      </c>
      <c r="F43" s="1028">
        <f>F42</f>
        <v>500</v>
      </c>
      <c r="G43" s="1028"/>
      <c r="H43" s="1028"/>
      <c r="I43" s="1028">
        <f>C43*E43*F43</f>
        <v>0</v>
      </c>
      <c r="J43" s="1030">
        <v>183.8</v>
      </c>
      <c r="K43" s="1036">
        <f>ROUND(J43*I43,0)</f>
        <v>0</v>
      </c>
      <c r="L43" s="1044"/>
      <c r="M43" s="1045"/>
      <c r="N43" s="1039"/>
    </row>
    <row r="44" spans="1:18" ht="46.5" customHeight="1">
      <c r="A44" s="1025">
        <v>5</v>
      </c>
      <c r="B44" s="1565" t="s">
        <v>240</v>
      </c>
      <c r="C44" s="1566"/>
      <c r="D44" s="1566"/>
      <c r="E44" s="1566"/>
      <c r="F44" s="1566"/>
      <c r="G44" s="1566"/>
      <c r="H44" s="1566"/>
      <c r="I44" s="1567"/>
      <c r="J44" s="1030"/>
      <c r="K44" s="1030"/>
      <c r="L44" s="1044"/>
      <c r="M44" s="1045"/>
      <c r="N44" s="1039"/>
      <c r="Q44" s="1046"/>
    </row>
    <row r="45" spans="1:18">
      <c r="A45" s="1025"/>
      <c r="B45" s="1034" t="s">
        <v>1144</v>
      </c>
      <c r="C45" s="1027">
        <v>1</v>
      </c>
      <c r="D45" s="1027" t="s">
        <v>163</v>
      </c>
      <c r="E45" s="1027">
        <v>1</v>
      </c>
      <c r="F45" s="1028">
        <f>F41</f>
        <v>400</v>
      </c>
      <c r="G45" s="1028"/>
      <c r="H45" s="1028"/>
      <c r="I45" s="1028">
        <f>C45*E45*F45</f>
        <v>400</v>
      </c>
      <c r="J45" s="1030">
        <f>'NP 3 450 mm dia'!H62</f>
        <v>280.25</v>
      </c>
      <c r="K45" s="1036">
        <f>ROUND(J45*I45,0)</f>
        <v>112100</v>
      </c>
      <c r="L45" s="1044"/>
      <c r="M45" s="1045"/>
      <c r="N45" s="1039"/>
    </row>
    <row r="46" spans="1:18" ht="76.5" customHeight="1">
      <c r="A46" s="1025">
        <v>6</v>
      </c>
      <c r="B46" s="1563" t="s">
        <v>970</v>
      </c>
      <c r="C46" s="1563"/>
      <c r="D46" s="1563"/>
      <c r="E46" s="1563"/>
      <c r="F46" s="1563"/>
      <c r="G46" s="1563"/>
      <c r="H46" s="1563"/>
      <c r="I46" s="1563"/>
      <c r="J46" s="1030"/>
      <c r="K46" s="1030"/>
      <c r="L46" s="1044"/>
      <c r="M46" s="1045"/>
      <c r="N46" s="1045"/>
    </row>
    <row r="47" spans="1:18">
      <c r="A47" s="1025"/>
      <c r="B47" s="1034" t="s">
        <v>1146</v>
      </c>
      <c r="C47" s="1027">
        <v>1</v>
      </c>
      <c r="D47" s="1027" t="s">
        <v>163</v>
      </c>
      <c r="E47" s="1027">
        <v>1</v>
      </c>
      <c r="F47" s="1028">
        <v>500</v>
      </c>
      <c r="G47" s="1028"/>
      <c r="H47" s="1028"/>
      <c r="I47" s="1028">
        <f>C47*E47*F47</f>
        <v>500</v>
      </c>
      <c r="J47" s="1030">
        <f>'stoneware pipes'!G58</f>
        <v>1444.09</v>
      </c>
      <c r="K47" s="1036">
        <f>ROUND(J47*I47,0)</f>
        <v>722045</v>
      </c>
      <c r="L47" s="1044"/>
      <c r="M47" s="1045"/>
      <c r="N47" s="1039"/>
    </row>
    <row r="48" spans="1:18">
      <c r="A48" s="1025"/>
      <c r="B48" s="1034" t="s">
        <v>1147</v>
      </c>
      <c r="C48" s="1027">
        <v>1</v>
      </c>
      <c r="D48" s="1027" t="s">
        <v>163</v>
      </c>
      <c r="E48" s="1027">
        <v>1</v>
      </c>
      <c r="F48" s="1028">
        <v>370</v>
      </c>
      <c r="G48" s="1028"/>
      <c r="H48" s="1028"/>
      <c r="I48" s="1028">
        <f>C48*E48*F48</f>
        <v>370</v>
      </c>
      <c r="J48" s="1030">
        <f>'stoneware pipes'!G98</f>
        <v>3439.25</v>
      </c>
      <c r="K48" s="1036">
        <f>ROUND(J48*I48,0)</f>
        <v>1272523</v>
      </c>
      <c r="L48" s="1044"/>
      <c r="M48" s="1045"/>
      <c r="N48" s="1039"/>
      <c r="R48" s="1046"/>
    </row>
    <row r="49" spans="1:14" ht="81.75" customHeight="1">
      <c r="A49" s="1025">
        <v>7</v>
      </c>
      <c r="B49" s="1563" t="s">
        <v>1148</v>
      </c>
      <c r="C49" s="1564"/>
      <c r="D49" s="1564"/>
      <c r="E49" s="1564"/>
      <c r="F49" s="1564"/>
      <c r="G49" s="1564"/>
      <c r="H49" s="1564"/>
      <c r="I49" s="1564"/>
      <c r="J49" s="1030" t="s">
        <v>166</v>
      </c>
      <c r="K49" s="1030"/>
      <c r="L49" s="1044"/>
      <c r="M49" s="1045"/>
      <c r="N49" s="1045"/>
    </row>
    <row r="50" spans="1:14">
      <c r="A50" s="1025"/>
      <c r="B50" s="1034" t="s">
        <v>1168</v>
      </c>
      <c r="C50" s="1027">
        <v>1</v>
      </c>
      <c r="D50" s="1027" t="s">
        <v>163</v>
      </c>
      <c r="E50" s="1027">
        <v>40</v>
      </c>
      <c r="F50" s="1028"/>
      <c r="G50" s="1028"/>
      <c r="H50" s="1028"/>
      <c r="I50" s="1028">
        <f>C50*E50</f>
        <v>40</v>
      </c>
      <c r="J50" s="1030">
        <f>'Man hole with 2nd Class  Bricks'!G64</f>
        <v>8246.7799999999988</v>
      </c>
      <c r="K50" s="1036">
        <f>ROUND(J50*I50,0)</f>
        <v>329871</v>
      </c>
      <c r="L50" s="1044"/>
      <c r="M50" s="1038"/>
      <c r="N50" s="1039"/>
    </row>
    <row r="51" spans="1:14">
      <c r="A51" s="1025"/>
      <c r="B51" s="1034" t="s">
        <v>1169</v>
      </c>
      <c r="C51" s="1027">
        <v>1</v>
      </c>
      <c r="D51" s="1027" t="s">
        <v>163</v>
      </c>
      <c r="E51" s="1027">
        <v>45</v>
      </c>
      <c r="F51" s="1028"/>
      <c r="G51" s="1028"/>
      <c r="H51" s="1028"/>
      <c r="I51" s="1028">
        <f>C51*E51</f>
        <v>45</v>
      </c>
      <c r="J51" s="1030">
        <f>'Man hole with 2nd Class  Bricks'!G82</f>
        <v>7541.51</v>
      </c>
      <c r="K51" s="1036">
        <f>ROUND(J51*I51,0)</f>
        <v>339368</v>
      </c>
      <c r="L51" s="1044"/>
      <c r="M51" s="1038"/>
      <c r="N51" s="1039"/>
    </row>
    <row r="52" spans="1:14">
      <c r="A52" s="1025"/>
      <c r="B52" s="1034" t="s">
        <v>1170</v>
      </c>
      <c r="C52" s="1027">
        <v>1</v>
      </c>
      <c r="D52" s="1027" t="s">
        <v>163</v>
      </c>
      <c r="E52" s="1027">
        <v>20</v>
      </c>
      <c r="F52" s="1028"/>
      <c r="G52" s="1028"/>
      <c r="H52" s="1028"/>
      <c r="I52" s="1028">
        <f>E52</f>
        <v>20</v>
      </c>
      <c r="J52" s="1030">
        <f>'Man hole with 2nd Class  Bricks'!G101</f>
        <v>6595.26</v>
      </c>
      <c r="K52" s="1036">
        <f>ROUND(J52*I52,0)</f>
        <v>131905</v>
      </c>
      <c r="L52" s="1044"/>
      <c r="M52" s="1038"/>
      <c r="N52" s="1039"/>
    </row>
    <row r="53" spans="1:14" ht="65.25" customHeight="1">
      <c r="A53" s="1025">
        <v>8</v>
      </c>
      <c r="B53" s="1563" t="str">
        <f>'Man hole with 2nd Class  Bricks'!C103</f>
        <v xml:space="preserve"> Additional manhole 0.10 M depth constructon  of 0.90 circular sewer man hole of 0.90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53" s="1564"/>
      <c r="D53" s="1564"/>
      <c r="E53" s="1564"/>
      <c r="F53" s="1564"/>
      <c r="G53" s="1564"/>
      <c r="H53" s="1564"/>
      <c r="I53" s="1564"/>
      <c r="J53" s="1030" t="s">
        <v>166</v>
      </c>
      <c r="K53" s="1030"/>
      <c r="L53" s="1044"/>
      <c r="M53" s="1045"/>
      <c r="N53" s="1045"/>
    </row>
    <row r="54" spans="1:14">
      <c r="A54" s="1025"/>
      <c r="B54" s="1034" t="s">
        <v>1171</v>
      </c>
      <c r="C54" s="1027"/>
      <c r="D54" s="1027"/>
      <c r="E54" s="1027"/>
      <c r="F54" s="1028"/>
      <c r="G54" s="1028"/>
      <c r="H54" s="1028"/>
      <c r="I54" s="1028"/>
      <c r="J54" s="1030"/>
      <c r="K54" s="1036"/>
      <c r="L54" s="1044"/>
      <c r="M54" s="1045"/>
      <c r="N54" s="1039"/>
    </row>
    <row r="55" spans="1:14">
      <c r="A55" s="1025"/>
      <c r="B55" s="1034"/>
      <c r="C55" s="1027">
        <v>1</v>
      </c>
      <c r="D55" s="1027" t="s">
        <v>163</v>
      </c>
      <c r="E55" s="1027">
        <f>SUM(E50:E52)*2</f>
        <v>210</v>
      </c>
      <c r="F55" s="1028"/>
      <c r="G55" s="1028"/>
      <c r="H55" s="1028"/>
      <c r="I55" s="1028">
        <f>E55</f>
        <v>210</v>
      </c>
      <c r="J55" s="1030">
        <f>'Man hole with 2nd Class  Bricks'!G112</f>
        <v>842.19</v>
      </c>
      <c r="K55" s="1036">
        <f>ROUND(J55*I55,0)</f>
        <v>176860</v>
      </c>
      <c r="L55" s="1044"/>
      <c r="M55" s="1045"/>
      <c r="N55" s="1039"/>
    </row>
    <row r="56" spans="1:14" ht="81.75" customHeight="1">
      <c r="A56" s="1025">
        <v>9</v>
      </c>
      <c r="B56" s="1563" t="str">
        <f>'Man hole with 2nd Class  Bricks'!C154</f>
        <v>Constructon  of  1.20 M   Circular Sewer Man hole of 1.20 mts x 0.55 m of 1.65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56" s="1564"/>
      <c r="D56" s="1564"/>
      <c r="E56" s="1564"/>
      <c r="F56" s="1564"/>
      <c r="G56" s="1564"/>
      <c r="H56" s="1564"/>
      <c r="I56" s="1564"/>
      <c r="J56" s="1030" t="s">
        <v>166</v>
      </c>
      <c r="K56" s="1030"/>
      <c r="L56" s="1044"/>
      <c r="M56" s="1045"/>
      <c r="N56" s="1045"/>
    </row>
    <row r="57" spans="1:14" hidden="1">
      <c r="A57" s="1025"/>
      <c r="B57" s="1034" t="s">
        <v>1168</v>
      </c>
      <c r="C57" s="1027">
        <v>1</v>
      </c>
      <c r="D57" s="1027" t="s">
        <v>163</v>
      </c>
      <c r="E57" s="1027">
        <v>40</v>
      </c>
      <c r="F57" s="1028"/>
      <c r="G57" s="1028"/>
      <c r="H57" s="1028"/>
      <c r="I57" s="1028">
        <f>C57*E57</f>
        <v>40</v>
      </c>
      <c r="J57" s="1030">
        <v>0</v>
      </c>
      <c r="K57" s="1036">
        <f>ROUND(J57*I57,0)</f>
        <v>0</v>
      </c>
      <c r="L57" s="1044"/>
      <c r="M57" s="1038"/>
      <c r="N57" s="1039"/>
    </row>
    <row r="58" spans="1:14" hidden="1">
      <c r="A58" s="1025"/>
      <c r="B58" s="1034" t="s">
        <v>1169</v>
      </c>
      <c r="C58" s="1027">
        <v>1</v>
      </c>
      <c r="D58" s="1027" t="s">
        <v>163</v>
      </c>
      <c r="E58" s="1027">
        <v>40</v>
      </c>
      <c r="F58" s="1028"/>
      <c r="G58" s="1028"/>
      <c r="H58" s="1028"/>
      <c r="I58" s="1028">
        <f>C58*E58</f>
        <v>40</v>
      </c>
      <c r="J58" s="1030">
        <v>0</v>
      </c>
      <c r="K58" s="1036">
        <f>ROUND(J58*I58,0)</f>
        <v>0</v>
      </c>
      <c r="L58" s="1044"/>
      <c r="M58" s="1038"/>
      <c r="N58" s="1039"/>
    </row>
    <row r="59" spans="1:14">
      <c r="A59" s="1025"/>
      <c r="B59" s="1034" t="s">
        <v>1263</v>
      </c>
      <c r="C59" s="1027">
        <v>1</v>
      </c>
      <c r="D59" s="1027" t="s">
        <v>163</v>
      </c>
      <c r="E59" s="1027">
        <v>20</v>
      </c>
      <c r="F59" s="1028"/>
      <c r="G59" s="1028"/>
      <c r="H59" s="1028"/>
      <c r="I59" s="1028">
        <f>E59</f>
        <v>20</v>
      </c>
      <c r="J59" s="1030">
        <f>'Man hole with 2nd Class  Bricks'!G241</f>
        <v>16780.86</v>
      </c>
      <c r="K59" s="1036">
        <f>ROUND(J59*I59,0)</f>
        <v>335617</v>
      </c>
      <c r="L59" s="1044"/>
      <c r="M59" s="1038"/>
      <c r="N59" s="1039"/>
    </row>
    <row r="60" spans="1:14" ht="66.75" customHeight="1">
      <c r="A60" s="1025">
        <v>10</v>
      </c>
      <c r="B60" s="1563" t="str">
        <f>'Man hole with 2nd Class  Bricks'!C302</f>
        <v xml:space="preserve"> Additional manhole 0.10 M depth constructon  of 1.2 circular sewer man hole of 1.65-2.3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60" s="1564"/>
      <c r="D60" s="1564"/>
      <c r="E60" s="1564"/>
      <c r="F60" s="1564"/>
      <c r="G60" s="1564"/>
      <c r="H60" s="1564"/>
      <c r="I60" s="1564"/>
      <c r="J60" s="1030" t="s">
        <v>166</v>
      </c>
      <c r="K60" s="1030"/>
      <c r="L60" s="1044"/>
      <c r="M60" s="1045"/>
      <c r="N60" s="1045"/>
    </row>
    <row r="61" spans="1:14">
      <c r="A61" s="1025"/>
      <c r="B61" s="1034" t="s">
        <v>1171</v>
      </c>
      <c r="C61" s="1027"/>
      <c r="D61" s="1027"/>
      <c r="E61" s="1027"/>
      <c r="F61" s="1028"/>
      <c r="G61" s="1028"/>
      <c r="H61" s="1028"/>
      <c r="I61" s="1028"/>
      <c r="J61" s="1030"/>
      <c r="K61" s="1036"/>
      <c r="L61" s="1044"/>
      <c r="M61" s="1045"/>
      <c r="N61" s="1039"/>
    </row>
    <row r="62" spans="1:14">
      <c r="A62" s="1025"/>
      <c r="B62" s="1034"/>
      <c r="C62" s="1027">
        <v>1</v>
      </c>
      <c r="D62" s="1027" t="s">
        <v>163</v>
      </c>
      <c r="E62" s="1027">
        <f>E59*2</f>
        <v>40</v>
      </c>
      <c r="F62" s="1028"/>
      <c r="G62" s="1028"/>
      <c r="H62" s="1028"/>
      <c r="I62" s="1028">
        <f>E62</f>
        <v>40</v>
      </c>
      <c r="J62" s="1030">
        <f>'Man hole with 2nd Class  Bricks'!G308</f>
        <v>1838.0661538461541</v>
      </c>
      <c r="K62" s="1036">
        <f>ROUND(J62*I62,0)</f>
        <v>73523</v>
      </c>
      <c r="L62" s="1044"/>
      <c r="M62" s="1045"/>
      <c r="N62" s="1039"/>
    </row>
    <row r="63" spans="1:14" ht="47.25" customHeight="1">
      <c r="A63" s="1025">
        <v>11</v>
      </c>
      <c r="B63" s="1563" t="s">
        <v>305</v>
      </c>
      <c r="C63" s="1564"/>
      <c r="D63" s="1564"/>
      <c r="E63" s="1564"/>
      <c r="F63" s="1564"/>
      <c r="G63" s="1564"/>
      <c r="H63" s="1564"/>
      <c r="I63" s="1564"/>
      <c r="J63" s="1030" t="s">
        <v>166</v>
      </c>
      <c r="K63" s="1030"/>
      <c r="L63" s="1044"/>
      <c r="M63" s="1045"/>
      <c r="N63" s="1045"/>
    </row>
    <row r="64" spans="1:14">
      <c r="A64" s="1025"/>
      <c r="B64" s="1047" t="str">
        <f>'Datas P7'!C311</f>
        <v>H.D.-20 with 560mm dia clear opening</v>
      </c>
      <c r="C64" s="1027">
        <v>1</v>
      </c>
      <c r="D64" s="1027" t="s">
        <v>163</v>
      </c>
      <c r="E64" s="1027">
        <f>E59+E52+E51+E50</f>
        <v>125</v>
      </c>
      <c r="F64" s="1028"/>
      <c r="G64" s="1028"/>
      <c r="H64" s="1028"/>
      <c r="I64" s="1028">
        <f>C64*E64</f>
        <v>125</v>
      </c>
      <c r="J64" s="1030">
        <f>'Datas P7'!G313</f>
        <v>3085.7833999999998</v>
      </c>
      <c r="K64" s="1036">
        <f>ROUND(J64*I64,0)</f>
        <v>385723</v>
      </c>
      <c r="L64" s="1044"/>
      <c r="M64" s="1045"/>
      <c r="N64" s="1039"/>
    </row>
    <row r="65" spans="1:16" hidden="1">
      <c r="A65" s="1025"/>
      <c r="B65" s="1047" t="str">
        <f>'Datas P7'!C314</f>
        <v>H.D.-35 with 560mm dia clear opening</v>
      </c>
      <c r="C65" s="1027">
        <v>1</v>
      </c>
      <c r="D65" s="1027" t="s">
        <v>163</v>
      </c>
      <c r="E65" s="1027">
        <v>0</v>
      </c>
      <c r="F65" s="1028"/>
      <c r="G65" s="1028"/>
      <c r="H65" s="1028"/>
      <c r="I65" s="1028">
        <f>C65*E65</f>
        <v>0</v>
      </c>
      <c r="J65" s="1030">
        <f>'Datas P7'!G314</f>
        <v>2911</v>
      </c>
      <c r="K65" s="1036">
        <f>ROUND(J65*I65,0)</f>
        <v>0</v>
      </c>
      <c r="L65" s="1044"/>
      <c r="M65" s="1045"/>
      <c r="N65" s="1039"/>
    </row>
    <row r="66" spans="1:16" ht="68.25" hidden="1" customHeight="1">
      <c r="A66" s="1025">
        <v>9</v>
      </c>
      <c r="B66" s="1563" t="str">
        <f>[40]Datas!C102</f>
        <v xml:space="preserve">Supplying and filling sand in trenches ,sides of the foundations and basement with initial lead in layers not exceeding 15 cm thick consolidatiing each depposited layer by watering and rampping including cost and conveyance of water  to work site and all operational incidental ,labour charges hire charges and T &amp; O Complete for finished item APSS 309 &amp;310)  </v>
      </c>
      <c r="C66" s="1564"/>
      <c r="D66" s="1564"/>
      <c r="E66" s="1564"/>
      <c r="F66" s="1564"/>
      <c r="G66" s="1564"/>
      <c r="H66" s="1564"/>
      <c r="I66" s="1564"/>
      <c r="J66" s="1030" t="s">
        <v>166</v>
      </c>
      <c r="K66" s="1030"/>
      <c r="L66" s="1044"/>
      <c r="M66" s="1045"/>
      <c r="N66" s="1045"/>
    </row>
    <row r="67" spans="1:16" hidden="1">
      <c r="A67" s="1025"/>
      <c r="B67" s="1034" t="s">
        <v>1149</v>
      </c>
      <c r="C67" s="1027">
        <v>1</v>
      </c>
      <c r="D67" s="1027" t="s">
        <v>163</v>
      </c>
      <c r="E67" s="1027">
        <v>1</v>
      </c>
      <c r="F67" s="1028">
        <v>270</v>
      </c>
      <c r="G67" s="1028">
        <v>0.6</v>
      </c>
      <c r="H67" s="1028">
        <v>0.75</v>
      </c>
      <c r="I67" s="1048">
        <f>H67*G67*F67*E67*C67</f>
        <v>121.49999999999999</v>
      </c>
      <c r="J67" s="1033"/>
      <c r="K67" s="1033"/>
      <c r="L67" s="1044"/>
      <c r="M67" s="1045"/>
      <c r="N67" s="1039"/>
    </row>
    <row r="68" spans="1:16" hidden="1">
      <c r="A68" s="1025"/>
      <c r="B68" s="1034" t="s">
        <v>1150</v>
      </c>
      <c r="C68" s="1027">
        <v>1</v>
      </c>
      <c r="D68" s="1027" t="s">
        <v>163</v>
      </c>
      <c r="E68" s="1027">
        <v>1</v>
      </c>
      <c r="F68" s="1028">
        <v>500</v>
      </c>
      <c r="G68" s="1028">
        <v>0.6</v>
      </c>
      <c r="H68" s="1028">
        <v>0.75</v>
      </c>
      <c r="I68" s="1048">
        <f>H68*G68*F68*E68*C68</f>
        <v>224.99999999999997</v>
      </c>
      <c r="J68" s="1049"/>
      <c r="K68" s="1036"/>
      <c r="L68" s="1044"/>
      <c r="M68" s="1045"/>
      <c r="N68" s="1050"/>
    </row>
    <row r="69" spans="1:16" hidden="1">
      <c r="A69" s="1025"/>
      <c r="B69" s="1047" t="s">
        <v>1151</v>
      </c>
      <c r="C69" s="1027">
        <v>-1</v>
      </c>
      <c r="D69" s="1027" t="s">
        <v>163</v>
      </c>
      <c r="E69" s="1027" t="s">
        <v>1152</v>
      </c>
      <c r="F69" s="1028">
        <v>270</v>
      </c>
      <c r="G69" s="1028">
        <v>0.35</v>
      </c>
      <c r="H69" s="1028">
        <v>0.35</v>
      </c>
      <c r="I69" s="1040">
        <f>H69*G69*F69*3.14/4*C69</f>
        <v>-25.963874999999998</v>
      </c>
      <c r="J69" s="1049"/>
      <c r="K69" s="1036"/>
      <c r="L69" s="1044"/>
      <c r="M69" s="1045"/>
      <c r="N69" s="1050"/>
    </row>
    <row r="70" spans="1:16" hidden="1">
      <c r="A70" s="1025"/>
      <c r="B70" s="1047" t="s">
        <v>1151</v>
      </c>
      <c r="C70" s="1027">
        <v>-1</v>
      </c>
      <c r="D70" s="1027" t="s">
        <v>163</v>
      </c>
      <c r="E70" s="1027" t="s">
        <v>1152</v>
      </c>
      <c r="F70" s="1028">
        <v>500</v>
      </c>
      <c r="G70" s="1028">
        <v>0.3</v>
      </c>
      <c r="H70" s="1028">
        <v>0.3</v>
      </c>
      <c r="I70" s="1040">
        <f>H70*G70*F70*3.14/4*C70</f>
        <v>-35.325000000000003</v>
      </c>
      <c r="J70" s="1049"/>
      <c r="K70" s="1036"/>
      <c r="L70" s="1044"/>
      <c r="M70" s="1045"/>
      <c r="N70" s="1050"/>
    </row>
    <row r="71" spans="1:16" hidden="1">
      <c r="A71" s="1025"/>
      <c r="B71" s="1047"/>
      <c r="C71" s="1027"/>
      <c r="D71" s="1027"/>
      <c r="E71" s="1027"/>
      <c r="F71" s="1028"/>
      <c r="G71" s="1028"/>
      <c r="H71" s="1028"/>
      <c r="I71" s="1040">
        <v>0</v>
      </c>
      <c r="J71" s="1030">
        <f>[40]Datas!G112</f>
        <v>983.54666666666662</v>
      </c>
      <c r="K71" s="1036">
        <f>ROUND(J71*I71,0)</f>
        <v>0</v>
      </c>
      <c r="L71" s="1044"/>
      <c r="M71" s="1045"/>
      <c r="N71" s="1050"/>
    </row>
    <row r="72" spans="1:16" ht="27" hidden="1" customHeight="1">
      <c r="A72" s="1025">
        <v>10</v>
      </c>
      <c r="B72" s="1563" t="s">
        <v>1256</v>
      </c>
      <c r="C72" s="1564"/>
      <c r="D72" s="1564"/>
      <c r="E72" s="1564"/>
      <c r="F72" s="1564"/>
      <c r="G72" s="1564"/>
      <c r="H72" s="1564"/>
      <c r="I72" s="1564"/>
      <c r="J72" s="1030" t="s">
        <v>166</v>
      </c>
      <c r="K72" s="1030"/>
      <c r="L72" s="1044"/>
      <c r="M72" s="1045"/>
      <c r="N72" s="1050"/>
    </row>
    <row r="73" spans="1:16" hidden="1">
      <c r="A73" s="1025"/>
      <c r="B73" s="1047"/>
      <c r="C73" s="1027">
        <v>1</v>
      </c>
      <c r="D73" s="1027" t="s">
        <v>163</v>
      </c>
      <c r="E73" s="1027">
        <v>6</v>
      </c>
      <c r="F73" s="1028"/>
      <c r="G73" s="1028"/>
      <c r="H73" s="1028"/>
      <c r="I73" s="1040">
        <f>E73</f>
        <v>6</v>
      </c>
      <c r="J73" s="1030">
        <v>0</v>
      </c>
      <c r="K73" s="1036">
        <f>ROUND(J73*I73,0)</f>
        <v>0</v>
      </c>
      <c r="L73" s="1044"/>
      <c r="M73" s="1045"/>
      <c r="N73" s="1050"/>
    </row>
    <row r="74" spans="1:16" ht="131.25" customHeight="1">
      <c r="A74" s="1025">
        <v>12</v>
      </c>
      <c r="B74" s="1565" t="str">
        <f>'Datas P7'!B359:G359</f>
        <v>Construction of  dowel jointed un-reinforced, expansion and construction joint plain cement concrete pavement, thickness as per design, over a prepared sub base, with 43 grade cement or any other type as per Clause 1501.2.2 M30 (Grade), coarse and fine aggregates (Natural sand 50%+Manufactured sand(Rock Sand)50% )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v>
      </c>
      <c r="C74" s="1566"/>
      <c r="D74" s="1566"/>
      <c r="E74" s="1566"/>
      <c r="F74" s="1566"/>
      <c r="G74" s="1566"/>
      <c r="H74" s="1566"/>
      <c r="I74" s="1567"/>
      <c r="J74" s="1030" t="s">
        <v>166</v>
      </c>
      <c r="K74" s="1030"/>
      <c r="L74" s="1044"/>
      <c r="M74" s="1045"/>
      <c r="N74" s="1050"/>
    </row>
    <row r="75" spans="1:16">
      <c r="A75" s="1025"/>
      <c r="B75" s="1047"/>
      <c r="C75" s="1027">
        <v>1</v>
      </c>
      <c r="D75" s="1027" t="s">
        <v>163</v>
      </c>
      <c r="E75" s="1027">
        <v>1</v>
      </c>
      <c r="F75" s="1028">
        <v>600</v>
      </c>
      <c r="G75" s="1028">
        <v>3.75</v>
      </c>
      <c r="H75" s="1028">
        <v>0.17</v>
      </c>
      <c r="I75" s="1040">
        <f>H75*G75*F75*E75*C75</f>
        <v>382.50000000000006</v>
      </c>
      <c r="J75" s="1030"/>
      <c r="K75" s="1036"/>
      <c r="L75" s="1044"/>
      <c r="M75" s="1045"/>
      <c r="N75" s="1050"/>
    </row>
    <row r="76" spans="1:16" hidden="1">
      <c r="A76" s="1025"/>
      <c r="B76" s="1047"/>
      <c r="C76" s="1027">
        <v>1</v>
      </c>
      <c r="D76" s="1027" t="s">
        <v>163</v>
      </c>
      <c r="E76" s="1027">
        <v>1</v>
      </c>
      <c r="F76" s="1028">
        <v>0</v>
      </c>
      <c r="G76" s="1028">
        <v>3</v>
      </c>
      <c r="H76" s="1028">
        <v>0.15</v>
      </c>
      <c r="I76" s="1040">
        <f>H76*G76*F76*E76*C76</f>
        <v>0</v>
      </c>
      <c r="J76" s="1030"/>
      <c r="K76" s="1036"/>
      <c r="L76" s="1044"/>
      <c r="M76" s="1045"/>
      <c r="N76" s="1050"/>
    </row>
    <row r="77" spans="1:16">
      <c r="A77" s="1025"/>
      <c r="B77" s="1047"/>
      <c r="C77" s="1027"/>
      <c r="D77" s="1027"/>
      <c r="E77" s="1027"/>
      <c r="F77" s="1028"/>
      <c r="G77" s="1028"/>
      <c r="H77" s="1028"/>
      <c r="I77" s="1040">
        <f>SUM(I75:I76)</f>
        <v>382.50000000000006</v>
      </c>
      <c r="J77" s="1030">
        <f>'Datas P7'!G410</f>
        <v>7256.51</v>
      </c>
      <c r="K77" s="1036">
        <f>ROUND(J77*I77,0)</f>
        <v>2775615</v>
      </c>
      <c r="L77" s="1044"/>
      <c r="M77" s="1045"/>
      <c r="N77" s="1050"/>
    </row>
    <row r="78" spans="1:16">
      <c r="A78" s="1025"/>
      <c r="B78" s="1047"/>
      <c r="C78" s="1027"/>
      <c r="D78" s="1027"/>
      <c r="E78" s="1027"/>
      <c r="F78" s="1028"/>
      <c r="G78" s="1028"/>
      <c r="H78" s="1028"/>
      <c r="I78" s="1028"/>
      <c r="J78" s="1030"/>
      <c r="K78" s="1036">
        <f>SUM(K12:K77)</f>
        <v>8083072</v>
      </c>
      <c r="L78" s="1044"/>
      <c r="M78" s="1045"/>
      <c r="N78" s="1050"/>
      <c r="P78" s="1046">
        <f>K33+K41+K45+K50+K64+K71+K73+K77</f>
        <v>4838180</v>
      </c>
    </row>
    <row r="79" spans="1:16">
      <c r="A79" s="1025">
        <v>13</v>
      </c>
      <c r="B79" s="1047" t="s">
        <v>1153</v>
      </c>
      <c r="C79" s="1027"/>
      <c r="D79" s="1027"/>
      <c r="E79" s="1027"/>
      <c r="F79" s="1028"/>
      <c r="G79" s="1028"/>
      <c r="H79" s="1028"/>
      <c r="I79" s="1028"/>
      <c r="J79" s="1030"/>
      <c r="K79" s="1036">
        <f>ROUND(K78*0.5%,0)</f>
        <v>40415</v>
      </c>
      <c r="L79" s="1044"/>
      <c r="M79" s="1045"/>
      <c r="N79" s="1050"/>
    </row>
    <row r="80" spans="1:16">
      <c r="A80" s="1025">
        <v>14</v>
      </c>
      <c r="B80" s="1047" t="s">
        <v>1154</v>
      </c>
      <c r="C80" s="1027"/>
      <c r="D80" s="1027"/>
      <c r="E80" s="1027"/>
      <c r="F80" s="1028"/>
      <c r="G80" s="1028"/>
      <c r="H80" s="1028"/>
      <c r="I80" s="1028"/>
      <c r="J80" s="1030"/>
      <c r="K80" s="1036">
        <f>ROUND(K78*0.1%,0)</f>
        <v>8083</v>
      </c>
      <c r="L80" s="1044"/>
      <c r="M80" s="1045"/>
      <c r="N80" s="1050"/>
    </row>
    <row r="81" spans="1:19">
      <c r="A81" s="1025">
        <v>15</v>
      </c>
      <c r="B81" s="1047" t="s">
        <v>1155</v>
      </c>
      <c r="C81" s="1027"/>
      <c r="D81" s="1027"/>
      <c r="E81" s="1027"/>
      <c r="F81" s="1028"/>
      <c r="G81" s="1028"/>
      <c r="H81" s="1028"/>
      <c r="I81" s="1028"/>
      <c r="J81" s="1030"/>
      <c r="K81" s="1036">
        <f>ROUND('Seignorage Calculation'!G47,0)</f>
        <v>84736</v>
      </c>
      <c r="L81" s="1044"/>
      <c r="M81" s="1045"/>
      <c r="N81" s="1050"/>
    </row>
    <row r="82" spans="1:19">
      <c r="A82" s="1025">
        <v>16</v>
      </c>
      <c r="B82" s="1047" t="s">
        <v>1249</v>
      </c>
      <c r="C82" s="1027"/>
      <c r="D82" s="1027"/>
      <c r="E82" s="1027"/>
      <c r="F82" s="1028"/>
      <c r="G82" s="1028"/>
      <c r="H82" s="1028"/>
      <c r="I82" s="1028"/>
      <c r="J82" s="1030"/>
      <c r="K82" s="1036">
        <f>ROUND(K81*30%,0)</f>
        <v>25421</v>
      </c>
      <c r="L82" s="1044"/>
      <c r="M82" s="1045"/>
      <c r="N82" s="1050"/>
    </row>
    <row r="83" spans="1:19">
      <c r="A83" s="1025">
        <v>17</v>
      </c>
      <c r="B83" s="1047" t="s">
        <v>1250</v>
      </c>
      <c r="C83" s="1027"/>
      <c r="D83" s="1027"/>
      <c r="E83" s="1027"/>
      <c r="F83" s="1028"/>
      <c r="G83" s="1028"/>
      <c r="H83" s="1028"/>
      <c r="I83" s="1028"/>
      <c r="J83" s="1030"/>
      <c r="K83" s="1036">
        <f>ROUND(K81*2%,0)</f>
        <v>1695</v>
      </c>
      <c r="L83" s="1044"/>
      <c r="M83" s="1045"/>
      <c r="N83" s="1050"/>
    </row>
    <row r="84" spans="1:19">
      <c r="A84" s="1025">
        <v>18</v>
      </c>
      <c r="B84" s="1047" t="s">
        <v>1156</v>
      </c>
      <c r="C84" s="1027"/>
      <c r="D84" s="1027"/>
      <c r="E84" s="1027"/>
      <c r="F84" s="1028"/>
      <c r="G84" s="1028"/>
      <c r="H84" s="1028"/>
      <c r="I84" s="1028"/>
      <c r="J84" s="1030"/>
      <c r="K84" s="1036">
        <f>ROUND('Seignorage Calculation'!K47,0)</f>
        <v>44995</v>
      </c>
      <c r="L84" s="1044"/>
      <c r="M84" s="1045"/>
      <c r="N84" s="1050"/>
    </row>
    <row r="85" spans="1:19" s="1038" customFormat="1">
      <c r="A85" s="1025"/>
      <c r="B85" s="1051"/>
      <c r="C85" s="1051"/>
      <c r="D85" s="1051"/>
      <c r="E85" s="1051"/>
      <c r="F85" s="1051"/>
      <c r="G85" s="1051"/>
      <c r="H85" s="1051"/>
      <c r="I85" s="1052"/>
      <c r="J85" s="1053"/>
      <c r="K85" s="1036">
        <f>SUM(K78:K84)</f>
        <v>8288417</v>
      </c>
      <c r="L85" s="1054"/>
      <c r="M85" s="1055">
        <f>ROUND(SUM(M14:M64),0)</f>
        <v>23159</v>
      </c>
      <c r="N85" s="1056"/>
      <c r="O85" s="1056"/>
      <c r="P85" s="1056"/>
      <c r="Q85" s="1056"/>
      <c r="R85" s="1057"/>
      <c r="S85" s="1056"/>
    </row>
    <row r="86" spans="1:19" s="1038" customFormat="1" ht="27.75" customHeight="1">
      <c r="A86" s="1025">
        <v>19</v>
      </c>
      <c r="B86" s="1562" t="s">
        <v>1157</v>
      </c>
      <c r="C86" s="1562"/>
      <c r="D86" s="1562"/>
      <c r="E86" s="1562"/>
      <c r="F86" s="1562"/>
      <c r="G86" s="1562"/>
      <c r="H86" s="1562"/>
      <c r="I86" s="1058"/>
      <c r="J86" s="1059"/>
      <c r="K86" s="1036">
        <f>ROUND(K85*18%,0)</f>
        <v>1491915</v>
      </c>
      <c r="L86" s="1060"/>
      <c r="M86" s="1056"/>
      <c r="N86" s="1056"/>
      <c r="O86" s="1056"/>
      <c r="P86" s="1056"/>
      <c r="Q86" s="1056"/>
      <c r="R86" s="1057"/>
      <c r="S86" s="1056"/>
    </row>
    <row r="87" spans="1:19" s="1038" customFormat="1">
      <c r="A87" s="1025">
        <v>20</v>
      </c>
      <c r="B87" s="1562" t="s">
        <v>1158</v>
      </c>
      <c r="C87" s="1562"/>
      <c r="D87" s="1562"/>
      <c r="E87" s="1562"/>
      <c r="F87" s="1562"/>
      <c r="G87" s="1562"/>
      <c r="H87" s="1562"/>
      <c r="I87" s="1058"/>
      <c r="J87" s="1052"/>
      <c r="K87" s="1036">
        <f>K88-(K85+K86)</f>
        <v>219668</v>
      </c>
      <c r="L87" s="1060"/>
      <c r="M87" s="1056"/>
      <c r="N87" s="1056"/>
      <c r="O87" s="1056"/>
      <c r="P87" s="1056"/>
      <c r="Q87" s="1056"/>
      <c r="R87" s="1057"/>
      <c r="S87" s="1056"/>
    </row>
    <row r="88" spans="1:19" s="1038" customFormat="1" ht="21.75" customHeight="1">
      <c r="A88" s="1025"/>
      <c r="B88" s="1128"/>
      <c r="C88" s="1128"/>
      <c r="D88" s="1128"/>
      <c r="E88" s="1025"/>
      <c r="F88" s="845"/>
      <c r="G88" s="845"/>
      <c r="H88" s="845"/>
      <c r="I88" s="1058"/>
      <c r="J88" s="1052"/>
      <c r="K88" s="1036">
        <v>10000000</v>
      </c>
      <c r="L88" s="1131"/>
      <c r="M88" s="1056"/>
      <c r="N88" s="1056"/>
      <c r="O88" s="1056"/>
      <c r="P88" s="1056"/>
      <c r="Q88" s="1056"/>
      <c r="R88" s="1057"/>
      <c r="S88" s="1056"/>
    </row>
    <row r="89" spans="1:19">
      <c r="A89" s="1019"/>
      <c r="B89" s="1132"/>
    </row>
    <row r="90" spans="1:19">
      <c r="A90" s="1019"/>
    </row>
    <row r="91" spans="1:19" s="1138" customFormat="1">
      <c r="A91" s="1136"/>
      <c r="B91" s="1137" t="str">
        <f>[40]Lead!$B$32</f>
        <v>Asst., Engineer</v>
      </c>
      <c r="F91" s="1137" t="str">
        <f>[40]Lead!K32</f>
        <v>Dy .Executive.Engineer</v>
      </c>
      <c r="G91" s="1137"/>
      <c r="H91" s="1137"/>
      <c r="I91" s="1137"/>
      <c r="J91" s="1137" t="str">
        <f>'Spec Report'!E30</f>
        <v>Executive Engineer</v>
      </c>
      <c r="L91" s="1137" t="e">
        <f>[40]Lead!S32</f>
        <v>#REF!</v>
      </c>
      <c r="M91" s="1137" t="e">
        <f>[40]Lead!T32</f>
        <v>#REF!</v>
      </c>
      <c r="N91" s="1137" t="e">
        <f>[40]Lead!U32</f>
        <v>#REF!</v>
      </c>
      <c r="O91" s="1137"/>
      <c r="P91" s="1137"/>
      <c r="Q91" s="1137"/>
    </row>
    <row r="92" spans="1:19" s="1138" customFormat="1">
      <c r="A92" s="1136"/>
      <c r="B92" s="1137" t="str">
        <f>[40]Lead!$B$33</f>
        <v>PR SD Amangal</v>
      </c>
      <c r="F92" s="1137" t="str">
        <f>[40]Lead!K33</f>
        <v>PR SD  Amangal</v>
      </c>
      <c r="G92" s="1137"/>
      <c r="H92" s="1137"/>
      <c r="I92" s="1137"/>
      <c r="J92" s="1137" t="str">
        <f>'Spec Report'!E31</f>
        <v>PR Div Ibrahimpatnam</v>
      </c>
      <c r="L92" s="1137" t="e">
        <f>[40]Lead!S33</f>
        <v>#REF!</v>
      </c>
      <c r="M92" s="1137" t="e">
        <f>[40]Lead!T33</f>
        <v>#REF!</v>
      </c>
      <c r="N92" s="1137" t="e">
        <f>[40]Lead!U33</f>
        <v>#REF!</v>
      </c>
      <c r="O92" s="1137"/>
      <c r="P92" s="1137"/>
      <c r="Q92" s="1137"/>
    </row>
    <row r="93" spans="1:19">
      <c r="A93" s="1019"/>
    </row>
    <row r="94" spans="1:19">
      <c r="A94" s="1019"/>
    </row>
    <row r="95" spans="1:19">
      <c r="A95" s="1019"/>
    </row>
    <row r="96" spans="1:19">
      <c r="A96" s="1019"/>
    </row>
    <row r="97" spans="1:1">
      <c r="A97" s="1019"/>
    </row>
    <row r="98" spans="1:1">
      <c r="A98" s="1019"/>
    </row>
    <row r="99" spans="1:1">
      <c r="A99" s="1019"/>
    </row>
    <row r="100" spans="1:1">
      <c r="A100" s="1019"/>
    </row>
    <row r="101" spans="1:1">
      <c r="A101" s="1019"/>
    </row>
    <row r="102" spans="1:1">
      <c r="A102" s="1019"/>
    </row>
    <row r="103" spans="1:1">
      <c r="A103" s="1019"/>
    </row>
    <row r="104" spans="1:1">
      <c r="A104" s="1019"/>
    </row>
    <row r="105" spans="1:1">
      <c r="A105" s="1019"/>
    </row>
    <row r="106" spans="1:1">
      <c r="A106" s="1019"/>
    </row>
    <row r="107" spans="1:1">
      <c r="A107" s="1019"/>
    </row>
    <row r="134" spans="10:10">
      <c r="J134" s="1140"/>
    </row>
    <row r="135" spans="10:10">
      <c r="J135" s="1140"/>
    </row>
    <row r="136" spans="10:10">
      <c r="J136" s="1140"/>
    </row>
    <row r="137" spans="10:10">
      <c r="J137" s="1140"/>
    </row>
    <row r="138" spans="10:10">
      <c r="J138" s="1140"/>
    </row>
    <row r="139" spans="10:10">
      <c r="J139" s="1140"/>
    </row>
    <row r="140" spans="10:10">
      <c r="J140" s="1140"/>
    </row>
    <row r="141" spans="10:10">
      <c r="J141" s="1140"/>
    </row>
    <row r="142" spans="10:10">
      <c r="J142" s="1140"/>
    </row>
    <row r="143" spans="10:10">
      <c r="J143" s="1140"/>
    </row>
    <row r="144" spans="10:10">
      <c r="J144" s="1140"/>
    </row>
    <row r="145" spans="10:10">
      <c r="J145" s="1140"/>
    </row>
    <row r="146" spans="10:10">
      <c r="J146" s="1140"/>
    </row>
    <row r="147" spans="10:10">
      <c r="J147" s="1140"/>
    </row>
    <row r="148" spans="10:10">
      <c r="J148" s="1140"/>
    </row>
    <row r="149" spans="10:10">
      <c r="J149" s="1140"/>
    </row>
    <row r="150" spans="10:10">
      <c r="J150" s="1140"/>
    </row>
    <row r="151" spans="10:10">
      <c r="J151" s="1140"/>
    </row>
    <row r="152" spans="10:10">
      <c r="J152" s="1140"/>
    </row>
    <row r="153" spans="10:10">
      <c r="J153" s="1140"/>
    </row>
    <row r="154" spans="10:10">
      <c r="J154" s="1140"/>
    </row>
    <row r="155" spans="10:10">
      <c r="J155" s="1140"/>
    </row>
    <row r="156" spans="10:10">
      <c r="J156" s="1140"/>
    </row>
    <row r="157" spans="10:10">
      <c r="J157" s="1140"/>
    </row>
    <row r="158" spans="10:10">
      <c r="J158" s="1140"/>
    </row>
    <row r="159" spans="10:10">
      <c r="J159" s="1140"/>
    </row>
    <row r="160" spans="10:10">
      <c r="J160" s="1140"/>
    </row>
    <row r="161" spans="10:10">
      <c r="J161" s="1140"/>
    </row>
    <row r="162" spans="10:10">
      <c r="J162" s="1140"/>
    </row>
    <row r="163" spans="10:10">
      <c r="J163" s="1140"/>
    </row>
    <row r="164" spans="10:10">
      <c r="J164" s="1140"/>
    </row>
    <row r="165" spans="10:10">
      <c r="J165" s="1140"/>
    </row>
    <row r="166" spans="10:10">
      <c r="J166" s="1140"/>
    </row>
    <row r="167" spans="10:10">
      <c r="J167" s="1140"/>
    </row>
    <row r="168" spans="10:10">
      <c r="J168" s="1140"/>
    </row>
    <row r="169" spans="10:10">
      <c r="J169" s="1140"/>
    </row>
    <row r="170" spans="10:10">
      <c r="J170" s="1140"/>
    </row>
    <row r="171" spans="10:10">
      <c r="J171" s="1140"/>
    </row>
    <row r="172" spans="10:10">
      <c r="J172" s="1140"/>
    </row>
    <row r="173" spans="10:10">
      <c r="J173" s="1140"/>
    </row>
    <row r="174" spans="10:10">
      <c r="J174" s="1140"/>
    </row>
    <row r="175" spans="10:10">
      <c r="J175" s="1140"/>
    </row>
    <row r="176" spans="10:10">
      <c r="J176" s="1140"/>
    </row>
    <row r="177" spans="10:10">
      <c r="J177" s="1140"/>
    </row>
    <row r="178" spans="10:10">
      <c r="J178" s="1140"/>
    </row>
    <row r="179" spans="10:10">
      <c r="J179" s="1140"/>
    </row>
    <row r="180" spans="10:10">
      <c r="J180" s="1140"/>
    </row>
    <row r="181" spans="10:10">
      <c r="J181" s="1140"/>
    </row>
    <row r="182" spans="10:10">
      <c r="J182" s="1140"/>
    </row>
    <row r="183" spans="10:10">
      <c r="J183" s="1140"/>
    </row>
    <row r="184" spans="10:10">
      <c r="J184" s="1140"/>
    </row>
    <row r="185" spans="10:10">
      <c r="J185" s="1140"/>
    </row>
    <row r="186" spans="10:10">
      <c r="J186" s="1140"/>
    </row>
    <row r="187" spans="10:10">
      <c r="J187" s="1140"/>
    </row>
    <row r="188" spans="10:10">
      <c r="J188" s="1140"/>
    </row>
    <row r="189" spans="10:10">
      <c r="J189" s="1140"/>
    </row>
    <row r="190" spans="10:10">
      <c r="J190" s="1140"/>
    </row>
    <row r="191" spans="10:10">
      <c r="J191" s="1140"/>
    </row>
    <row r="192" spans="10:10">
      <c r="J192" s="1140"/>
    </row>
    <row r="193" spans="10:10">
      <c r="J193" s="1140"/>
    </row>
    <row r="194" spans="10:10">
      <c r="J194" s="1140"/>
    </row>
    <row r="195" spans="10:10">
      <c r="J195" s="1140"/>
    </row>
    <row r="196" spans="10:10">
      <c r="J196" s="1140"/>
    </row>
    <row r="197" spans="10:10">
      <c r="J197" s="1140"/>
    </row>
  </sheetData>
  <mergeCells count="31">
    <mergeCell ref="B12:H12"/>
    <mergeCell ref="A1:K1"/>
    <mergeCell ref="A2:K2"/>
    <mergeCell ref="A3:A4"/>
    <mergeCell ref="B3:B4"/>
    <mergeCell ref="C3:E4"/>
    <mergeCell ref="F3:H3"/>
    <mergeCell ref="I3:I4"/>
    <mergeCell ref="J3:J4"/>
    <mergeCell ref="K3:K4"/>
    <mergeCell ref="L3:L4"/>
    <mergeCell ref="M3:M4"/>
    <mergeCell ref="N3:N4"/>
    <mergeCell ref="C5:E5"/>
    <mergeCell ref="B6:I6"/>
    <mergeCell ref="B14:I14"/>
    <mergeCell ref="B33:H33"/>
    <mergeCell ref="B40:I40"/>
    <mergeCell ref="B46:I46"/>
    <mergeCell ref="B44:I44"/>
    <mergeCell ref="B86:H86"/>
    <mergeCell ref="B87:H87"/>
    <mergeCell ref="B35:I35"/>
    <mergeCell ref="B49:I49"/>
    <mergeCell ref="B53:I53"/>
    <mergeCell ref="B63:I63"/>
    <mergeCell ref="B66:I66"/>
    <mergeCell ref="B72:I72"/>
    <mergeCell ref="B74:I74"/>
    <mergeCell ref="B56:I56"/>
    <mergeCell ref="B60:I60"/>
  </mergeCells>
  <pageMargins left="0.7" right="0.7" top="0.75" bottom="0.75" header="0.3" footer="0.3"/>
  <pageSetup paperSize="9" scale="75" orientation="portrait" r:id="rId1"/>
</worksheet>
</file>

<file path=xl/worksheets/sheet14.xml><?xml version="1.0" encoding="utf-8"?>
<worksheet xmlns="http://schemas.openxmlformats.org/spreadsheetml/2006/main" xmlns:r="http://schemas.openxmlformats.org/officeDocument/2006/relationships">
  <dimension ref="A1:S70"/>
  <sheetViews>
    <sheetView tabSelected="1" view="pageBreakPreview" topLeftCell="A37" zoomScale="85" zoomScaleSheetLayoutView="85" workbookViewId="0">
      <selection activeCell="R38" sqref="R38"/>
    </sheetView>
  </sheetViews>
  <sheetFormatPr defaultRowHeight="12.75"/>
  <cols>
    <col min="1" max="1" width="2" bestFit="1" customWidth="1"/>
    <col min="2" max="2" width="38.28515625" customWidth="1"/>
    <col min="4" max="6" width="9.28515625" bestFit="1" customWidth="1"/>
    <col min="7" max="7" width="11.28515625" bestFit="1" customWidth="1"/>
    <col min="8" max="11" width="9.28515625" bestFit="1" customWidth="1"/>
  </cols>
  <sheetData>
    <row r="1" spans="1:19">
      <c r="A1" s="1581" t="s">
        <v>1224</v>
      </c>
      <c r="B1" s="1581"/>
      <c r="C1" s="1581"/>
      <c r="D1" s="1581"/>
      <c r="E1" s="1581"/>
      <c r="F1" s="1581"/>
      <c r="G1" s="1581"/>
      <c r="H1" s="1581"/>
      <c r="I1" s="1581"/>
      <c r="J1" s="1581"/>
      <c r="K1" s="1581"/>
    </row>
    <row r="2" spans="1:19" ht="63" customHeight="1">
      <c r="A2" s="1582" t="str">
        <f>'Final Estimate'!A2:K2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B2" s="1582"/>
      <c r="C2" s="1582"/>
      <c r="D2" s="1582"/>
      <c r="E2" s="1582"/>
      <c r="F2" s="1582"/>
      <c r="G2" s="1582"/>
      <c r="H2" s="1582"/>
      <c r="I2" s="1582"/>
      <c r="J2" s="1582"/>
      <c r="K2" s="1582"/>
    </row>
    <row r="3" spans="1:19" ht="38.25" customHeight="1">
      <c r="A3" s="956">
        <v>1</v>
      </c>
      <c r="B3" s="956" t="s">
        <v>565</v>
      </c>
      <c r="C3" s="956"/>
      <c r="D3" s="1583" t="s">
        <v>1225</v>
      </c>
      <c r="E3" s="1584"/>
      <c r="F3" s="1584"/>
      <c r="G3" s="1585"/>
      <c r="H3" s="1583" t="s">
        <v>1226</v>
      </c>
      <c r="I3" s="1584"/>
      <c r="J3" s="1584"/>
      <c r="K3" s="1585"/>
    </row>
    <row r="4" spans="1:19" ht="25.5">
      <c r="A4" s="956">
        <v>1</v>
      </c>
      <c r="B4" s="956" t="s">
        <v>565</v>
      </c>
      <c r="C4" s="956"/>
      <c r="D4" s="956" t="s">
        <v>159</v>
      </c>
      <c r="E4" s="956" t="s">
        <v>294</v>
      </c>
      <c r="F4" s="956" t="s">
        <v>1227</v>
      </c>
      <c r="G4" s="956" t="s">
        <v>1228</v>
      </c>
      <c r="H4" s="956" t="s">
        <v>159</v>
      </c>
      <c r="I4" s="956" t="s">
        <v>294</v>
      </c>
      <c r="J4" s="956" t="s">
        <v>1227</v>
      </c>
      <c r="K4" s="956" t="s">
        <v>1228</v>
      </c>
    </row>
    <row r="5" spans="1:19" ht="126.75" customHeight="1">
      <c r="A5" s="957"/>
      <c r="B5" s="958" t="str">
        <f>'Man hole with 2nd Class  Bricks'!C66</f>
        <v>Constructon  of  0.90 M   Circular Sewer Man hole of 0.90 mts x 0.55 m of 1.0 M depths with 2nd Class   bricks in cm 1:6 prop and  corbelling too including cc bed ( 1: 4 : 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5" s="476"/>
      <c r="D5" s="476"/>
      <c r="E5" s="476"/>
      <c r="F5" s="476"/>
      <c r="G5" s="476"/>
      <c r="H5" s="476"/>
      <c r="I5" s="476"/>
      <c r="J5" s="476"/>
      <c r="K5" s="476"/>
    </row>
    <row r="6" spans="1:19" s="974" customFormat="1" ht="19.5" customHeight="1">
      <c r="A6" s="971"/>
      <c r="B6" s="972" t="s">
        <v>1229</v>
      </c>
      <c r="C6" s="973"/>
      <c r="D6" s="973"/>
      <c r="E6" s="973"/>
      <c r="F6" s="973"/>
      <c r="G6" s="973"/>
      <c r="H6" s="973"/>
      <c r="I6" s="973"/>
      <c r="J6" s="973"/>
      <c r="K6" s="973"/>
    </row>
    <row r="7" spans="1:19" ht="25.5">
      <c r="A7" s="957"/>
      <c r="B7" s="959" t="str">
        <f>'Man hole with 2nd Class  Bricks'!C53</f>
        <v>CC in CM( 1:4:8) PI/4x(0.9+0.46+0.3)x0.15=0.3246</v>
      </c>
      <c r="C7" s="908" t="s">
        <v>109</v>
      </c>
      <c r="D7" s="960">
        <f>'Man hole with 2nd Class  Bricks'!E53</f>
        <v>0.3246</v>
      </c>
      <c r="E7" s="472">
        <f>0.9*97.5+0.45*(0.5*40+0.5*97.5)</f>
        <v>118.6875</v>
      </c>
      <c r="F7" s="472">
        <f>E7*D7</f>
        <v>38.525962499999999</v>
      </c>
      <c r="G7" s="476"/>
      <c r="H7" s="960">
        <f>D7</f>
        <v>0.3246</v>
      </c>
      <c r="I7" s="472">
        <f>(0.9*97.5+0.45*(0.5*97.5))*0.8</f>
        <v>87.75</v>
      </c>
      <c r="J7" s="472">
        <f>I7*H7</f>
        <v>28.483650000000001</v>
      </c>
      <c r="K7" s="476"/>
    </row>
    <row r="8" spans="1:19" ht="54" customHeight="1">
      <c r="A8" s="957"/>
      <c r="B8" s="959" t="str">
        <f>'Man hole with 2nd Class  Bricks'!C54</f>
        <v>2nd Class Brick Masonory in cm (1: 6) Prop using 2nd class bricks for Uniform Section( PIx1.13x0.23x0.4)-(PI/4*0.23*0.23*.23*2)=0.3076</v>
      </c>
      <c r="C8" s="908" t="s">
        <v>109</v>
      </c>
      <c r="D8" s="960">
        <f>'Man hole with 2nd Class  Bricks'!E54</f>
        <v>0.30759999999999998</v>
      </c>
      <c r="E8" s="961">
        <f>0.2*(0.5*40+0.5*97.5)+(512/1000*78)</f>
        <v>53.686</v>
      </c>
      <c r="F8" s="472">
        <f>E8*D8</f>
        <v>16.513813599999999</v>
      </c>
      <c r="G8" s="476"/>
      <c r="H8" s="960">
        <f t="shared" ref="H8:H11" si="0">D8</f>
        <v>0.30759999999999998</v>
      </c>
      <c r="I8" s="472">
        <f>(0.2*(0.5*97.5)+(512/1000*78))*0.8</f>
        <v>39.748800000000003</v>
      </c>
      <c r="J8" s="472">
        <f>I8*H8</f>
        <v>12.22673088</v>
      </c>
      <c r="K8" s="476"/>
      <c r="R8">
        <f>512*0.07</f>
        <v>35.840000000000003</v>
      </c>
      <c r="S8">
        <f>512/1000*78</f>
        <v>39.936</v>
      </c>
    </row>
    <row r="9" spans="1:19" ht="54" customHeight="1">
      <c r="A9" s="957"/>
      <c r="B9" s="959" t="str">
        <f>'Man hole with 2nd Class  Bricks'!C55</f>
        <v>2nd Class Brick Masonory work  in cm (1: 6) )Prop using 2nd class bricks for Carbelling Portion Pix(1.13+0.78)/2x0.23x(0.6-.25)=0.2428</v>
      </c>
      <c r="C9" s="908" t="s">
        <v>109</v>
      </c>
      <c r="D9" s="960">
        <f>'Man hole with 2nd Class  Bricks'!E55</f>
        <v>0.24279999999999999</v>
      </c>
      <c r="E9" s="961">
        <f>0.2*(0.5*40+0.5*97.5)+(512/1000*78)</f>
        <v>53.686</v>
      </c>
      <c r="F9" s="472">
        <f>E9*D9</f>
        <v>13.034960799999999</v>
      </c>
      <c r="G9" s="476"/>
      <c r="H9" s="960">
        <f t="shared" si="0"/>
        <v>0.24279999999999999</v>
      </c>
      <c r="I9" s="472">
        <f>(0.2*(0.5*97.5)+(512/1000*78))*0.8</f>
        <v>39.748800000000003</v>
      </c>
      <c r="J9" s="472">
        <f>I9*H9</f>
        <v>9.6510086400000006</v>
      </c>
      <c r="K9" s="476"/>
      <c r="R9">
        <f>512/1000*60</f>
        <v>30.72</v>
      </c>
    </row>
    <row r="10" spans="1:19" ht="51.75" customHeight="1">
      <c r="A10" s="957"/>
      <c r="B10" s="959" t="str">
        <f>'Man hole with 2nd Class  Bricks'!C56</f>
        <v>External Plastering in CM(1:4) of 12 mm thick vertical portion Pix(.9+.23*2)x0.40 and sloped portion Pix(1.36+1.01)/2x(0.6-.25)  Dedcut Pipe Portion 2xPI()/4x0.23x0.23=2.9325</v>
      </c>
      <c r="C10" s="908" t="s">
        <v>326</v>
      </c>
      <c r="D10" s="960">
        <f>'Man hole with 2nd Class  Bricks'!E56</f>
        <v>2.9325000000000001</v>
      </c>
      <c r="E10" s="961">
        <f>0.15*(0.5*40+0.5*97.5)</f>
        <v>10.3125</v>
      </c>
      <c r="F10" s="472">
        <f>E10*D10</f>
        <v>30.241406250000001</v>
      </c>
      <c r="G10" s="476"/>
      <c r="H10" s="960">
        <f t="shared" si="0"/>
        <v>2.9325000000000001</v>
      </c>
      <c r="I10" s="472">
        <f>0.15*(0.5*97.5)*0.8</f>
        <v>5.8500000000000005</v>
      </c>
      <c r="J10" s="472">
        <f>I10*H10</f>
        <v>17.155125000000002</v>
      </c>
      <c r="K10" s="476"/>
    </row>
    <row r="11" spans="1:19" ht="57" customHeight="1">
      <c r="A11" s="957"/>
      <c r="B11" s="959" t="str">
        <f>'Man hole with 2nd Class  Bricks'!C57</f>
        <v>Internal Plastering in CM(1:4) of 20 mm thick uniform portion PIx0.90x0.4 and Sloped Portion Pix(0.90+0.56)/2x(.6-.25)  Dedcut Pipe Portion 2xPI()/4x0.23x0.23=1.2777</v>
      </c>
      <c r="C11" s="908" t="s">
        <v>326</v>
      </c>
      <c r="D11" s="960">
        <f>'Man hole with 2nd Class  Bricks'!E57</f>
        <v>1.2777000000000001</v>
      </c>
      <c r="E11" s="961">
        <f>0.21*(0.5*40+0.5*97.5)</f>
        <v>14.4375</v>
      </c>
      <c r="F11" s="472">
        <f>E11*D11</f>
        <v>18.446793750000001</v>
      </c>
      <c r="G11" s="476"/>
      <c r="H11" s="960">
        <f t="shared" si="0"/>
        <v>1.2777000000000001</v>
      </c>
      <c r="I11" s="472">
        <f>0.21*(0.5*97.5)*0.8</f>
        <v>8.19</v>
      </c>
      <c r="J11" s="472">
        <f>I11*H11</f>
        <v>10.464363000000001</v>
      </c>
      <c r="K11" s="476"/>
    </row>
    <row r="12" spans="1:19">
      <c r="A12" s="957"/>
      <c r="B12" s="476"/>
      <c r="C12" s="476"/>
      <c r="D12" s="664">
        <f>'Final Estimate'!E50</f>
        <v>40</v>
      </c>
      <c r="E12" s="476"/>
      <c r="F12" s="963">
        <f>SUM(F7:F11)</f>
        <v>116.76293689999999</v>
      </c>
      <c r="G12" s="664">
        <f>F12*D12</f>
        <v>4670.5174759999991</v>
      </c>
      <c r="H12" s="664">
        <f>D12</f>
        <v>40</v>
      </c>
      <c r="I12" s="476"/>
      <c r="J12" s="963">
        <f>SUM(J7:J11)</f>
        <v>77.980877520000007</v>
      </c>
      <c r="K12" s="664">
        <f>J12*H12</f>
        <v>3119.2351008000005</v>
      </c>
    </row>
    <row r="13" spans="1:19">
      <c r="A13" s="957"/>
      <c r="B13" s="964" t="s">
        <v>1107</v>
      </c>
      <c r="C13" s="476"/>
      <c r="D13" s="476"/>
      <c r="E13" s="476"/>
      <c r="F13" s="476"/>
      <c r="G13" s="476"/>
      <c r="H13" s="476"/>
      <c r="I13" s="476"/>
      <c r="J13" s="476"/>
      <c r="K13" s="476"/>
    </row>
    <row r="14" spans="1:19" ht="25.5">
      <c r="A14" s="957"/>
      <c r="B14" s="959" t="str">
        <f>'Man hole with 2nd Class  Bricks'!C71</f>
        <v>CC in CM( 1:4:8) PI/4x(0.9+0.46+0.3)x0.15=0.325</v>
      </c>
      <c r="C14" s="908" t="s">
        <v>109</v>
      </c>
      <c r="D14" s="960">
        <f>'Man hole with 2nd Class  Bricks'!E71</f>
        <v>0.32500000000000001</v>
      </c>
      <c r="E14" s="472">
        <f>E7</f>
        <v>118.6875</v>
      </c>
      <c r="F14" s="472">
        <f>E14*D14</f>
        <v>38.573437500000004</v>
      </c>
      <c r="G14" s="476"/>
      <c r="H14" s="960">
        <f>D14</f>
        <v>0.32500000000000001</v>
      </c>
      <c r="I14" s="472">
        <f>I7</f>
        <v>87.75</v>
      </c>
      <c r="J14" s="472">
        <f>I14*H14</f>
        <v>28.518750000000001</v>
      </c>
      <c r="K14" s="476"/>
    </row>
    <row r="15" spans="1:19" ht="51">
      <c r="A15" s="957"/>
      <c r="B15" s="959" t="str">
        <f>'Man hole with 2nd Class  Bricks'!C72</f>
        <v>2nd Class Brick Masonory in cm (1: 6) Prop using 2nd class bricks for Uniform Section( PIx1.13x0.23x0.4)-(PI/4*0.4*0.4*.23*2)=0.269</v>
      </c>
      <c r="C15" s="908" t="s">
        <v>109</v>
      </c>
      <c r="D15" s="960">
        <f>'Man hole with 2nd Class  Bricks'!E72</f>
        <v>0.26900000000000002</v>
      </c>
      <c r="E15" s="472">
        <f t="shared" ref="E15:E18" si="1">E8</f>
        <v>53.686</v>
      </c>
      <c r="F15" s="472">
        <f>E15*D15</f>
        <v>14.441534000000001</v>
      </c>
      <c r="G15" s="476"/>
      <c r="H15" s="960">
        <f t="shared" ref="H15:H18" si="2">D15</f>
        <v>0.26900000000000002</v>
      </c>
      <c r="I15" s="472">
        <f t="shared" ref="I15:I18" si="3">I8</f>
        <v>39.748800000000003</v>
      </c>
      <c r="J15" s="472">
        <f>I15*H15</f>
        <v>10.692427200000001</v>
      </c>
      <c r="K15" s="476"/>
    </row>
    <row r="16" spans="1:19" ht="51">
      <c r="A16" s="957"/>
      <c r="B16" s="959" t="str">
        <f>'Man hole with 2nd Class  Bricks'!C73</f>
        <v>2nd Class Brick Masonory work  in cm (1: 6) )Prop using 2nd class bricks for Carbelling Portion Pix(1.13+0.78)/2x0.23x(0.6-.25)=0.243</v>
      </c>
      <c r="C16" s="908" t="s">
        <v>109</v>
      </c>
      <c r="D16" s="960">
        <f>'Man hole with 2nd Class  Bricks'!E73</f>
        <v>0.24299999999999999</v>
      </c>
      <c r="E16" s="472">
        <f t="shared" si="1"/>
        <v>53.686</v>
      </c>
      <c r="F16" s="472">
        <f>E16*D16</f>
        <v>13.045698</v>
      </c>
      <c r="G16" s="476"/>
      <c r="H16" s="960">
        <f t="shared" si="2"/>
        <v>0.24299999999999999</v>
      </c>
      <c r="I16" s="472">
        <f t="shared" si="3"/>
        <v>39.748800000000003</v>
      </c>
      <c r="J16" s="472">
        <f>I16*H16</f>
        <v>9.6589584000000013</v>
      </c>
      <c r="K16" s="476"/>
    </row>
    <row r="17" spans="1:11" ht="51">
      <c r="A17" s="957"/>
      <c r="B17" s="959" t="str">
        <f>'Man hole with 2nd Class  Bricks'!C74</f>
        <v>External Plastering in CM(1:4) of 12 mm thick vertical portion Pix(.9+.23*2)x0.40 and sloped portion Pix(1.36+1.01)/2x(0.6-.25)  Dedcut Pipe Portion 2xPI()/4x0.4x0.4=2.766</v>
      </c>
      <c r="C17" s="908" t="s">
        <v>326</v>
      </c>
      <c r="D17" s="960">
        <f>'Man hole with 2nd Class  Bricks'!E74</f>
        <v>2.766</v>
      </c>
      <c r="E17" s="472">
        <f t="shared" si="1"/>
        <v>10.3125</v>
      </c>
      <c r="F17" s="472">
        <f>E17*D17</f>
        <v>28.524374999999999</v>
      </c>
      <c r="G17" s="476"/>
      <c r="H17" s="960">
        <f t="shared" si="2"/>
        <v>2.766</v>
      </c>
      <c r="I17" s="472">
        <f t="shared" si="3"/>
        <v>5.8500000000000005</v>
      </c>
      <c r="J17" s="472">
        <f>I17*H17</f>
        <v>16.181100000000001</v>
      </c>
      <c r="K17" s="476"/>
    </row>
    <row r="18" spans="1:11" ht="51">
      <c r="A18" s="957"/>
      <c r="B18" s="959" t="str">
        <f>'Man hole with 2nd Class  Bricks'!C75</f>
        <v>Internal Plastering in CM(1:4) of 20 mm thick uniform portion PIx0.90x0.4 and Sloped Portion Pix(0.90+0.56)/2x(.6-.25)  Dedcut Pipe Portion 2xPI()/4x0.40x0.40=0.803</v>
      </c>
      <c r="C18" s="908" t="s">
        <v>326</v>
      </c>
      <c r="D18" s="960">
        <f>'Man hole with 2nd Class  Bricks'!E75</f>
        <v>0.80300000000000005</v>
      </c>
      <c r="E18" s="472">
        <f t="shared" si="1"/>
        <v>14.4375</v>
      </c>
      <c r="F18" s="472">
        <f>E18*D18</f>
        <v>11.593312500000001</v>
      </c>
      <c r="G18" s="476"/>
      <c r="H18" s="960">
        <f t="shared" si="2"/>
        <v>0.80300000000000005</v>
      </c>
      <c r="I18" s="472">
        <f t="shared" si="3"/>
        <v>8.19</v>
      </c>
      <c r="J18" s="472">
        <f>I18*H18</f>
        <v>6.5765700000000002</v>
      </c>
      <c r="K18" s="476"/>
    </row>
    <row r="19" spans="1:11">
      <c r="A19" s="957"/>
      <c r="B19" s="476"/>
      <c r="C19" s="476"/>
      <c r="D19" s="664">
        <f>'Final Estimate'!E51</f>
        <v>45</v>
      </c>
      <c r="E19" s="476"/>
      <c r="F19" s="963">
        <f>SUM(F14:F18)</f>
        <v>106.17835700000001</v>
      </c>
      <c r="G19" s="664">
        <f>F19*D19</f>
        <v>4778.026065</v>
      </c>
      <c r="H19" s="664">
        <f>D19</f>
        <v>45</v>
      </c>
      <c r="I19" s="476"/>
      <c r="J19" s="963">
        <f>SUM(J14:J18)</f>
        <v>71.627805600000016</v>
      </c>
      <c r="K19" s="664">
        <f>J19*H19</f>
        <v>3223.2512520000009</v>
      </c>
    </row>
    <row r="20" spans="1:11">
      <c r="A20" s="957"/>
      <c r="B20" s="1100" t="s">
        <v>1230</v>
      </c>
      <c r="C20" s="476"/>
      <c r="D20" s="476"/>
      <c r="E20" s="476"/>
      <c r="F20" s="476"/>
      <c r="G20" s="476"/>
      <c r="H20" s="476"/>
      <c r="I20" s="476"/>
      <c r="J20" s="476"/>
      <c r="K20" s="476"/>
    </row>
    <row r="21" spans="1:11" ht="39" customHeight="1">
      <c r="A21" s="957"/>
      <c r="B21" s="959" t="str">
        <f>'Man hole with 2nd Class  Bricks'!C89</f>
        <v>CC in CM( 1:4:8) PI/4x(0.9+0.46+0.3)x0.15=0.325</v>
      </c>
      <c r="C21" s="908" t="s">
        <v>109</v>
      </c>
      <c r="D21" s="960">
        <f>'Man hole with 2nd Class  Bricks'!E89</f>
        <v>0.32500000000000001</v>
      </c>
      <c r="E21" s="472">
        <f>E14</f>
        <v>118.6875</v>
      </c>
      <c r="F21" s="472">
        <f>E21*D21</f>
        <v>38.573437500000004</v>
      </c>
      <c r="G21" s="476"/>
      <c r="H21" s="960">
        <f>D21</f>
        <v>0.32500000000000001</v>
      </c>
      <c r="I21" s="472">
        <f>I14</f>
        <v>87.75</v>
      </c>
      <c r="J21" s="472">
        <f>I21*H21</f>
        <v>28.518750000000001</v>
      </c>
      <c r="K21" s="476"/>
    </row>
    <row r="22" spans="1:11" ht="39" customHeight="1">
      <c r="A22" s="957"/>
      <c r="B22" s="959" t="str">
        <f>'Man hole with 2nd Class  Bricks'!C90</f>
        <v>2nd Class Brick Masonory in cm (1: 6) Prop using 2nd class bricks for Uniform Section( PIx1.13x0.23x0.4)-(PI/4*0.58*0.5*8.23*2)=0.205</v>
      </c>
      <c r="C22" s="908" t="s">
        <v>109</v>
      </c>
      <c r="D22" s="960">
        <f>'Man hole with 2nd Class  Bricks'!E90</f>
        <v>0.20499999999999999</v>
      </c>
      <c r="E22" s="472">
        <f t="shared" ref="E22:E25" si="4">E15</f>
        <v>53.686</v>
      </c>
      <c r="F22" s="472">
        <f>E22*D22</f>
        <v>11.00563</v>
      </c>
      <c r="G22" s="476"/>
      <c r="H22" s="960">
        <f t="shared" ref="H22:H25" si="5">D22</f>
        <v>0.20499999999999999</v>
      </c>
      <c r="I22" s="472">
        <f t="shared" ref="I22:I25" si="6">I15</f>
        <v>39.748800000000003</v>
      </c>
      <c r="J22" s="472">
        <f>I22*H22</f>
        <v>8.1485040000000009</v>
      </c>
      <c r="K22" s="476"/>
    </row>
    <row r="23" spans="1:11" ht="39" customHeight="1">
      <c r="A23" s="957"/>
      <c r="B23" s="959" t="str">
        <f>'Man hole with 2nd Class  Bricks'!C91</f>
        <v>2nd Class Brick Masonory work  in cm (1: 6) )Prop using 2nd class bricks for Carbelling Portion Pix(1.13+0.78)/2x0.23x(0.6-.25)=0.243</v>
      </c>
      <c r="C23" s="908" t="s">
        <v>109</v>
      </c>
      <c r="D23" s="960">
        <f>'Man hole with 2nd Class  Bricks'!E91</f>
        <v>0.24299999999999999</v>
      </c>
      <c r="E23" s="472">
        <f t="shared" si="4"/>
        <v>53.686</v>
      </c>
      <c r="F23" s="472">
        <f>E23*D23</f>
        <v>13.045698</v>
      </c>
      <c r="G23" s="476"/>
      <c r="H23" s="960">
        <f t="shared" si="5"/>
        <v>0.24299999999999999</v>
      </c>
      <c r="I23" s="472">
        <f t="shared" si="6"/>
        <v>39.748800000000003</v>
      </c>
      <c r="J23" s="472">
        <f>I23*H23</f>
        <v>9.6589584000000013</v>
      </c>
      <c r="K23" s="476"/>
    </row>
    <row r="24" spans="1:11" ht="39" customHeight="1">
      <c r="A24" s="957"/>
      <c r="B24" s="959" t="str">
        <f>'Man hole with 2nd Class  Bricks'!C92</f>
        <v>External Plastering in CM(1:4) of 12 mm thick vertical portion Pix(.9+.23*2)x0.40 and sloped portion Pix(1.36+1.01)/2x(0.6-.25)  Dedcut Pipe Portion 2xPI()/4x0.23x0.23=2.489</v>
      </c>
      <c r="C24" s="908" t="s">
        <v>326</v>
      </c>
      <c r="D24" s="960">
        <f>'Man hole with 2nd Class  Bricks'!E92</f>
        <v>2.4889999999999999</v>
      </c>
      <c r="E24" s="472">
        <f t="shared" si="4"/>
        <v>10.3125</v>
      </c>
      <c r="F24" s="472">
        <f>E24*D24</f>
        <v>25.6678125</v>
      </c>
      <c r="G24" s="476"/>
      <c r="H24" s="960">
        <f t="shared" si="5"/>
        <v>2.4889999999999999</v>
      </c>
      <c r="I24" s="472">
        <f t="shared" si="6"/>
        <v>5.8500000000000005</v>
      </c>
      <c r="J24" s="472">
        <f>I24*H24</f>
        <v>14.560650000000001</v>
      </c>
      <c r="K24" s="476"/>
    </row>
    <row r="25" spans="1:11" ht="39" customHeight="1">
      <c r="A25" s="957"/>
      <c r="B25" s="959" t="str">
        <f>'Man hole with 2nd Class  Bricks'!C93</f>
        <v>Internal Plastering in CM(1:4) of 20 mm thick uniform portion PIx0.90x0.4 and Sloped Portion Pix(0.90+0.56)/2x(.6-.25)  Dedcut Pipe Portion 2xPI()/4x0.25x0.25=0.294</v>
      </c>
      <c r="C25" s="908" t="s">
        <v>326</v>
      </c>
      <c r="D25" s="960">
        <f>'Man hole with 2nd Class  Bricks'!E93</f>
        <v>0.29399999999999998</v>
      </c>
      <c r="E25" s="472">
        <f t="shared" si="4"/>
        <v>14.4375</v>
      </c>
      <c r="F25" s="472">
        <f>E25*D25</f>
        <v>4.2446250000000001</v>
      </c>
      <c r="G25" s="476"/>
      <c r="H25" s="960">
        <f t="shared" si="5"/>
        <v>0.29399999999999998</v>
      </c>
      <c r="I25" s="472">
        <f t="shared" si="6"/>
        <v>8.19</v>
      </c>
      <c r="J25" s="472">
        <f>I25*H25</f>
        <v>2.4078599999999999</v>
      </c>
      <c r="K25" s="476"/>
    </row>
    <row r="26" spans="1:11">
      <c r="A26" s="957"/>
      <c r="B26" s="476"/>
      <c r="C26" s="476"/>
      <c r="D26" s="664">
        <f>'Final Estimate'!E52</f>
        <v>20</v>
      </c>
      <c r="E26" s="476"/>
      <c r="F26" s="963">
        <f>SUM(F21:F25)</f>
        <v>92.537203000000005</v>
      </c>
      <c r="G26" s="664">
        <f>F26*D26</f>
        <v>1850.74406</v>
      </c>
      <c r="H26" s="664">
        <f>D26</f>
        <v>20</v>
      </c>
      <c r="I26" s="476"/>
      <c r="J26" s="963">
        <f>SUM(J21:J25)</f>
        <v>63.294722400000005</v>
      </c>
      <c r="K26" s="664">
        <f>J26*H26</f>
        <v>1265.894448</v>
      </c>
    </row>
    <row r="27" spans="1:11" ht="100.5" customHeight="1">
      <c r="A27" s="957"/>
      <c r="B27" s="958" t="str">
        <f>'[40] Brickwork Manhole '!C63</f>
        <v xml:space="preserve"> Additional manhole 0.10 M depth constructon  of 0.90 circular sewer man hole of 0.90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27" s="476"/>
      <c r="D27" s="664"/>
      <c r="E27" s="476"/>
      <c r="F27" s="476"/>
      <c r="G27" s="476"/>
      <c r="H27" s="664"/>
      <c r="I27" s="476"/>
      <c r="J27" s="476"/>
      <c r="K27" s="476"/>
    </row>
    <row r="28" spans="1:11" ht="38.25">
      <c r="A28" s="957"/>
      <c r="B28" s="959" t="str">
        <f>'Man hole with 2nd Class  Bricks'!C105</f>
        <v>2nd ClassBrick Masonory work  in cm (1: 6) )portion for Uniform Section PIx1.13x0.23x0.10 =0.531</v>
      </c>
      <c r="C28" s="908" t="s">
        <v>109</v>
      </c>
      <c r="D28" s="960">
        <f>'Man hole with 2nd Class  Bricks'!E105</f>
        <v>0.53100000000000003</v>
      </c>
      <c r="E28" s="961">
        <f>E35</f>
        <v>53.686</v>
      </c>
      <c r="F28" s="472">
        <f>E28*D28</f>
        <v>28.507266000000001</v>
      </c>
      <c r="G28" s="476"/>
      <c r="H28" s="960">
        <f>0.082</f>
        <v>8.2000000000000003E-2</v>
      </c>
      <c r="I28" s="961">
        <f>I35</f>
        <v>39.748800000000003</v>
      </c>
      <c r="J28" s="472">
        <f>I28*H28</f>
        <v>3.2594016000000003</v>
      </c>
      <c r="K28" s="476"/>
    </row>
    <row r="29" spans="1:11" ht="25.5">
      <c r="A29" s="957"/>
      <c r="B29" s="959" t="str">
        <f>'Man hole with 2nd Class  Bricks'!C106</f>
        <v>External Plastering in CM(1:4) of 12 mm thick vertical portion PIx1.36x0..10=2.777</v>
      </c>
      <c r="C29" s="908" t="s">
        <v>326</v>
      </c>
      <c r="D29" s="960">
        <f>'Man hole with 2nd Class  Bricks'!E106</f>
        <v>2.7770000000000001</v>
      </c>
      <c r="E29" s="961">
        <f>E37</f>
        <v>10.3125</v>
      </c>
      <c r="F29" s="472">
        <f>E29*D29</f>
        <v>28.637812500000003</v>
      </c>
      <c r="G29" s="476"/>
      <c r="H29" s="960">
        <v>0.42699999999999999</v>
      </c>
      <c r="I29" s="961">
        <f>I37</f>
        <v>5.8500000000000005</v>
      </c>
      <c r="J29" s="472">
        <f>I29*H29</f>
        <v>2.4979500000000003</v>
      </c>
      <c r="K29" s="476"/>
    </row>
    <row r="30" spans="1:11" ht="25.5">
      <c r="A30" s="957"/>
      <c r="B30" s="959" t="str">
        <f>'Man hole with 2nd Class  Bricks'!C107</f>
        <v>Internal Plastering in CM(1:4) of 20 mm thick uniform portion PIx0.90x0.10=1.838</v>
      </c>
      <c r="C30" s="908" t="s">
        <v>326</v>
      </c>
      <c r="D30" s="960">
        <f>'Man hole with 2nd Class  Bricks'!E107</f>
        <v>1.8380000000000001</v>
      </c>
      <c r="E30" s="961">
        <f>E38</f>
        <v>14.4375</v>
      </c>
      <c r="F30" s="472">
        <f>E30*D30</f>
        <v>26.536125000000002</v>
      </c>
      <c r="G30" s="476"/>
      <c r="H30" s="960">
        <v>0.28299999999999997</v>
      </c>
      <c r="I30" s="961">
        <f>I38</f>
        <v>8.19</v>
      </c>
      <c r="J30" s="472">
        <f>I30*H30</f>
        <v>2.3177699999999994</v>
      </c>
      <c r="K30" s="476"/>
    </row>
    <row r="31" spans="1:11">
      <c r="A31" s="957"/>
      <c r="B31" s="476"/>
      <c r="C31" s="476"/>
      <c r="D31" s="664">
        <f>'Final Estimate'!E55</f>
        <v>210</v>
      </c>
      <c r="E31" s="476"/>
      <c r="F31" s="664">
        <f>SUM(F28:F30)</f>
        <v>83.681203500000009</v>
      </c>
      <c r="G31" s="664">
        <f>F31*D31</f>
        <v>17573.052735000001</v>
      </c>
      <c r="H31" s="664">
        <f>D31</f>
        <v>210</v>
      </c>
      <c r="I31" s="476"/>
      <c r="J31" s="664">
        <f>SUM(J28:J30)</f>
        <v>8.0751215999999992</v>
      </c>
      <c r="K31" s="664">
        <f>J31*H31</f>
        <v>1695.7755359999999</v>
      </c>
    </row>
    <row r="32" spans="1:11" ht="127.5" customHeight="1">
      <c r="A32" s="957"/>
      <c r="B32" s="958" t="str">
        <f>'Man hole with 2nd Class  Bricks'!C223</f>
        <v>Constructon  of  1.20 M   Circular Sewer Man hole of 1.20 mts x 0.55 m of 1.65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32" s="476"/>
      <c r="D32" s="476"/>
      <c r="E32" s="476"/>
      <c r="F32" s="476"/>
      <c r="G32" s="476"/>
      <c r="H32" s="476"/>
      <c r="I32" s="476"/>
      <c r="J32" s="476"/>
      <c r="K32" s="476"/>
    </row>
    <row r="33" spans="1:11">
      <c r="A33" s="957"/>
      <c r="B33" s="1100" t="s">
        <v>1230</v>
      </c>
      <c r="C33" s="476"/>
      <c r="D33" s="476"/>
      <c r="E33" s="476"/>
      <c r="F33" s="476"/>
      <c r="G33" s="476"/>
      <c r="H33" s="476"/>
      <c r="I33" s="476"/>
      <c r="J33" s="476"/>
      <c r="K33" s="476"/>
    </row>
    <row r="34" spans="1:11" ht="28.5" customHeight="1">
      <c r="A34" s="957"/>
      <c r="B34" s="959" t="str">
        <f>'Man hole with 2nd Class  Bricks'!C229</f>
        <v>CC in CM( 1:4:8) PI/4x(1.2+0.35*2+0.3)x0.2=0.7603</v>
      </c>
      <c r="C34" s="908" t="s">
        <v>109</v>
      </c>
      <c r="D34" s="960">
        <f>'Man hole with 2nd Class  Bricks'!E229</f>
        <v>0.76029999999999998</v>
      </c>
      <c r="E34" s="472">
        <f>E14</f>
        <v>118.6875</v>
      </c>
      <c r="F34" s="472">
        <f>E34*D34</f>
        <v>90.238106250000001</v>
      </c>
      <c r="G34" s="476"/>
      <c r="H34" s="960">
        <v>0.21299999999999999</v>
      </c>
      <c r="I34" s="472">
        <f>I14</f>
        <v>87.75</v>
      </c>
      <c r="J34" s="472">
        <f>I34*H34</f>
        <v>18.690750000000001</v>
      </c>
      <c r="K34" s="476"/>
    </row>
    <row r="35" spans="1:11" ht="51">
      <c r="A35" s="957"/>
      <c r="B35" s="959" t="str">
        <f>'Man hole with 2nd Class  Bricks'!C230</f>
        <v>2nd Class Brick Masonory in cm (1: 6) Prop using 2nd class bricks for Uniform Section( PIx1.55x0.35x0.15)+( PIx1.43x0.23x0.5)-(PI/4*0.58*0.58*avg Thick*2)=0.6343</v>
      </c>
      <c r="C35" s="908" t="s">
        <v>109</v>
      </c>
      <c r="D35" s="960">
        <f>'Man hole with 2nd Class  Bricks'!E230</f>
        <v>0.63429999999999997</v>
      </c>
      <c r="E35" s="472">
        <f t="shared" ref="E35:E38" si="7">E15</f>
        <v>53.686</v>
      </c>
      <c r="F35" s="472">
        <f>E35*D35</f>
        <v>34.053029799999997</v>
      </c>
      <c r="G35" s="476"/>
      <c r="H35" s="960">
        <v>0.22600000000000001</v>
      </c>
      <c r="I35" s="472">
        <f t="shared" ref="I35:I38" si="8">I15</f>
        <v>39.748800000000003</v>
      </c>
      <c r="J35" s="472">
        <f>I35*H35</f>
        <v>8.9832288000000009</v>
      </c>
      <c r="K35" s="476"/>
    </row>
    <row r="36" spans="1:11" ht="51">
      <c r="A36" s="957"/>
      <c r="B36" s="959" t="str">
        <f>'Man hole with 2nd Class  Bricks'!C231</f>
        <v>2nd Class Brick Masonory work  in cm (1: 6) )Prop using 2nd class bricks for Carbelling Portion Pix(1.46+0.78)/2x0.23x(1.00-.25)=0.6015</v>
      </c>
      <c r="C36" s="908" t="s">
        <v>109</v>
      </c>
      <c r="D36" s="960">
        <f>'Man hole with 2nd Class  Bricks'!E231</f>
        <v>0.60150000000000003</v>
      </c>
      <c r="E36" s="472">
        <f t="shared" si="7"/>
        <v>53.686</v>
      </c>
      <c r="F36" s="472">
        <f>E36*D36</f>
        <v>32.292129000000003</v>
      </c>
      <c r="G36" s="476"/>
      <c r="H36" s="960">
        <v>0.48299999999999998</v>
      </c>
      <c r="I36" s="472">
        <f t="shared" si="8"/>
        <v>39.748800000000003</v>
      </c>
      <c r="J36" s="472">
        <f>I36*H36</f>
        <v>19.198670400000001</v>
      </c>
      <c r="K36" s="476"/>
    </row>
    <row r="37" spans="1:11" ht="76.5">
      <c r="A37" s="957"/>
      <c r="B37" s="959" t="str">
        <f>'Man hole with 2nd Class  Bricks'!C232</f>
        <v>External Plastering in CM(1:4) of 12 mm thick vertical portion Pix(1.2+.35*2)x0.15+Pix(1.20+.23*2)*0.50 and sloped portion Pix(1.2+.46+1.01)/2x(1.00-.25)  Dedcut Pipe Portion 2xPI()/4x0.58x0.58=6.1322</v>
      </c>
      <c r="C37" s="908" t="s">
        <v>326</v>
      </c>
      <c r="D37" s="960">
        <f>'Man hole with 2nd Class  Bricks'!E232</f>
        <v>6.1322000000000001</v>
      </c>
      <c r="E37" s="472">
        <f t="shared" si="7"/>
        <v>10.3125</v>
      </c>
      <c r="F37" s="472">
        <f>E37*D37</f>
        <v>63.238312499999999</v>
      </c>
      <c r="G37" s="476"/>
      <c r="H37" s="960">
        <v>3.8570000000000002</v>
      </c>
      <c r="I37" s="472">
        <f t="shared" si="8"/>
        <v>5.8500000000000005</v>
      </c>
      <c r="J37" s="472">
        <f>I37*H37</f>
        <v>22.563450000000003</v>
      </c>
      <c r="K37" s="476"/>
    </row>
    <row r="38" spans="1:11" ht="63.75">
      <c r="A38" s="957"/>
      <c r="B38" s="959" t="str">
        <f>'Man hole with 2nd Class  Bricks'!C233</f>
        <v>Internal Plastering in CM(1:4) of 20 mm thick uniform portion PIx1.20x0.15+Pix1.20*0.50 and Sloped Portion Pix(1.20+0.56)/2x(1.00-.25)  Dedcut Pipe Portion 2xPI()/4x0.58x0.58=2.3369</v>
      </c>
      <c r="C38" s="908" t="s">
        <v>326</v>
      </c>
      <c r="D38" s="962">
        <f>'Man hole with 2nd Class  Bricks'!E233</f>
        <v>2.3369</v>
      </c>
      <c r="E38" s="472">
        <f t="shared" si="7"/>
        <v>14.4375</v>
      </c>
      <c r="F38" s="472">
        <f>E38*D38</f>
        <v>33.738993749999999</v>
      </c>
      <c r="G38" s="476"/>
      <c r="H38" s="962">
        <v>2.5349999999999997</v>
      </c>
      <c r="I38" s="472">
        <f t="shared" si="8"/>
        <v>8.19</v>
      </c>
      <c r="J38" s="472">
        <f>I38*H38</f>
        <v>20.761649999999996</v>
      </c>
      <c r="K38" s="476"/>
    </row>
    <row r="39" spans="1:11">
      <c r="A39" s="957"/>
      <c r="B39" s="476"/>
      <c r="C39" s="476"/>
      <c r="D39" s="664">
        <f>'Final Estimate'!E59</f>
        <v>20</v>
      </c>
      <c r="E39" s="476"/>
      <c r="F39" s="963">
        <f>SUM(F34:F38)</f>
        <v>253.56057130000002</v>
      </c>
      <c r="G39" s="664">
        <f>F39*D39</f>
        <v>5071.2114260000008</v>
      </c>
      <c r="H39" s="664">
        <f>D39</f>
        <v>20</v>
      </c>
      <c r="I39" s="476"/>
      <c r="J39" s="963">
        <f>SUM(J34:J38)</f>
        <v>90.197749200000004</v>
      </c>
      <c r="K39" s="664">
        <f>J39*H39</f>
        <v>1803.954984</v>
      </c>
    </row>
    <row r="40" spans="1:11" ht="100.5" customHeight="1">
      <c r="A40" s="957"/>
      <c r="B40" s="958" t="str">
        <f>'Man hole with 2nd Class  Bricks'!C302</f>
        <v xml:space="preserve"> Additional manhole 0.10 M depth constructon  of 1.2 circular sewer man hole of 1.65-2.3 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40" s="476"/>
      <c r="D40" s="664"/>
      <c r="E40" s="476"/>
      <c r="F40" s="476"/>
      <c r="G40" s="476"/>
      <c r="H40" s="664"/>
      <c r="I40" s="476"/>
      <c r="J40" s="476"/>
      <c r="K40" s="476"/>
    </row>
    <row r="41" spans="1:11" ht="38.25">
      <c r="A41" s="957"/>
      <c r="B41" s="959" t="str">
        <f>'Man hole with 2nd Class  Bricks'!C303</f>
        <v>2nd ClassBrick Masonory work  in cm (1: 6) )portion for Uniform Section PIx1.43x0.23x0.10 =1.1078</v>
      </c>
      <c r="C41" s="908" t="s">
        <v>109</v>
      </c>
      <c r="D41" s="960">
        <f>'Man hole with 2nd Class  Bricks'!E303</f>
        <v>1.1077999999999999</v>
      </c>
      <c r="E41" s="961">
        <f>E35</f>
        <v>53.686</v>
      </c>
      <c r="F41" s="472">
        <f>E41*D41</f>
        <v>59.473350799999992</v>
      </c>
      <c r="G41" s="476"/>
      <c r="H41" s="960">
        <f>0.082</f>
        <v>8.2000000000000003E-2</v>
      </c>
      <c r="I41" s="961">
        <f>I35</f>
        <v>39.748800000000003</v>
      </c>
      <c r="J41" s="472">
        <f>I41*H41</f>
        <v>3.2594016000000003</v>
      </c>
      <c r="K41" s="476"/>
    </row>
    <row r="42" spans="1:11" ht="25.5">
      <c r="A42" s="957"/>
      <c r="B42" s="959" t="str">
        <f>'Man hole with 2nd Class  Bricks'!C304</f>
        <v>External Plastering in CM(1:4) of 12 mm thick vertical portion PIx1.36x0..10=3.8799</v>
      </c>
      <c r="C42" s="908" t="s">
        <v>326</v>
      </c>
      <c r="D42" s="960">
        <f>'Man hole with 2nd Class  Bricks'!E304</f>
        <v>3.8799000000000001</v>
      </c>
      <c r="E42" s="961">
        <f>E37</f>
        <v>10.3125</v>
      </c>
      <c r="F42" s="472">
        <f>E42*D42</f>
        <v>40.011468749999999</v>
      </c>
      <c r="G42" s="476"/>
      <c r="H42" s="960">
        <v>0.42699999999999999</v>
      </c>
      <c r="I42" s="961">
        <f>I37</f>
        <v>5.8500000000000005</v>
      </c>
      <c r="J42" s="472">
        <f>I42*H42</f>
        <v>2.4979500000000003</v>
      </c>
      <c r="K42" s="476"/>
    </row>
    <row r="43" spans="1:11" ht="25.5">
      <c r="A43" s="957"/>
      <c r="B43" s="959" t="str">
        <f>'Man hole with 2nd Class  Bricks'!C305</f>
        <v>Internal Plastering in CM(1:4) of 20 mm thick uniform portion PIx01.20x0.10=2.45</v>
      </c>
      <c r="C43" s="908" t="s">
        <v>326</v>
      </c>
      <c r="D43" s="960">
        <f>'Man hole with 2nd Class  Bricks'!E305</f>
        <v>2.4500000000000002</v>
      </c>
      <c r="E43" s="961">
        <f>E38</f>
        <v>14.4375</v>
      </c>
      <c r="F43" s="472">
        <f>E43*D43</f>
        <v>35.371875000000003</v>
      </c>
      <c r="G43" s="476"/>
      <c r="H43" s="960">
        <v>0.28299999999999997</v>
      </c>
      <c r="I43" s="961">
        <f>I38</f>
        <v>8.19</v>
      </c>
      <c r="J43" s="472">
        <f>I43*H43</f>
        <v>2.3177699999999994</v>
      </c>
      <c r="K43" s="476"/>
    </row>
    <row r="44" spans="1:11">
      <c r="A44" s="957"/>
      <c r="B44" s="476"/>
      <c r="C44" s="476"/>
      <c r="D44" s="664">
        <f>'Final Estimate'!I62</f>
        <v>40</v>
      </c>
      <c r="E44" s="476"/>
      <c r="F44" s="664">
        <f>SUM(F41:F43)</f>
        <v>134.85669454999999</v>
      </c>
      <c r="G44" s="664">
        <f>F44*D44</f>
        <v>5394.267781999999</v>
      </c>
      <c r="H44" s="664">
        <f>D44</f>
        <v>40</v>
      </c>
      <c r="I44" s="476"/>
      <c r="J44" s="664">
        <f>SUM(J41:J43)</f>
        <v>8.0751215999999992</v>
      </c>
      <c r="K44" s="664">
        <f>J44*H44</f>
        <v>323.004864</v>
      </c>
    </row>
    <row r="45" spans="1:11">
      <c r="A45" s="957"/>
      <c r="B45" s="476"/>
      <c r="C45" s="476"/>
      <c r="D45" s="664"/>
      <c r="E45" s="476"/>
      <c r="F45" s="664"/>
      <c r="G45" s="664"/>
      <c r="H45" s="664"/>
      <c r="I45" s="476"/>
      <c r="J45" s="664"/>
      <c r="K45" s="664"/>
    </row>
    <row r="46" spans="1:11" s="1165" customFormat="1">
      <c r="A46" s="1162"/>
      <c r="B46" s="1163" t="s">
        <v>1269</v>
      </c>
      <c r="C46" s="1163" t="s">
        <v>290</v>
      </c>
      <c r="D46" s="1164">
        <f>'Final Estimate'!I77</f>
        <v>382.50000000000006</v>
      </c>
      <c r="E46" s="1164">
        <f>0.9*97.5+0.45*(0.5*97.5+0.5*40)</f>
        <v>118.6875</v>
      </c>
      <c r="F46" s="1164">
        <f>E46*D46</f>
        <v>45397.968750000007</v>
      </c>
      <c r="G46" s="1164">
        <f>F46</f>
        <v>45397.968750000007</v>
      </c>
      <c r="H46" s="1164">
        <f>D46</f>
        <v>382.50000000000006</v>
      </c>
      <c r="I46" s="1163">
        <f>0.8*(0.9*97.5+0.45*(0.5*97.5))</f>
        <v>87.75</v>
      </c>
      <c r="J46" s="1164">
        <f>I46*H46</f>
        <v>33564.375000000007</v>
      </c>
      <c r="K46" s="1164">
        <f>J46</f>
        <v>33564.375000000007</v>
      </c>
    </row>
    <row r="47" spans="1:11">
      <c r="A47" s="957"/>
      <c r="B47" s="476"/>
      <c r="C47" s="476"/>
      <c r="D47" s="476"/>
      <c r="E47" s="476"/>
      <c r="F47" s="476"/>
      <c r="G47" s="963">
        <f>SUM(G6:G46)</f>
        <v>84735.788293999998</v>
      </c>
      <c r="H47" s="476"/>
      <c r="I47" s="476"/>
      <c r="J47" s="476"/>
      <c r="K47" s="963">
        <f>SUM(K6:K46)</f>
        <v>44995.491184800005</v>
      </c>
    </row>
    <row r="48" spans="1:11">
      <c r="A48" s="906"/>
    </row>
    <row r="49" spans="1:7">
      <c r="A49" s="906"/>
    </row>
    <row r="50" spans="1:7">
      <c r="A50" s="906"/>
    </row>
    <row r="51" spans="1:7">
      <c r="A51" s="906"/>
    </row>
    <row r="52" spans="1:7">
      <c r="A52" s="906"/>
      <c r="B52" t="str">
        <f>'[40] Estimate'!B93</f>
        <v>Asst., Engineer</v>
      </c>
      <c r="D52" t="str">
        <f>'[40] Estimate'!F93</f>
        <v>Dy .Executive.Engineer</v>
      </c>
      <c r="G52" t="str">
        <f>'Spec Report'!E30</f>
        <v>Executive Engineer</v>
      </c>
    </row>
    <row r="53" spans="1:7">
      <c r="A53" s="906"/>
      <c r="B53" t="str">
        <f>'[40] Estimate'!B94</f>
        <v>PR SD Amangal</v>
      </c>
      <c r="D53" t="str">
        <f>'[40] Estimate'!F94</f>
        <v>PR SD  Amangal</v>
      </c>
      <c r="G53" t="str">
        <f>'Spec Report'!E31</f>
        <v>PR Div Ibrahimpatnam</v>
      </c>
    </row>
    <row r="54" spans="1:7">
      <c r="A54" s="906"/>
    </row>
    <row r="55" spans="1:7">
      <c r="A55" s="906"/>
    </row>
    <row r="56" spans="1:7">
      <c r="A56" s="906"/>
    </row>
    <row r="57" spans="1:7">
      <c r="A57" s="906"/>
    </row>
    <row r="58" spans="1:7">
      <c r="A58" s="906"/>
    </row>
    <row r="59" spans="1:7">
      <c r="A59" s="906"/>
    </row>
    <row r="60" spans="1:7">
      <c r="A60" s="906"/>
    </row>
    <row r="61" spans="1:7">
      <c r="A61" s="906"/>
    </row>
    <row r="62" spans="1:7">
      <c r="A62" s="906"/>
    </row>
    <row r="63" spans="1:7">
      <c r="A63" s="906"/>
    </row>
    <row r="64" spans="1:7">
      <c r="A64" s="906"/>
    </row>
    <row r="65" spans="1:1">
      <c r="A65" s="906"/>
    </row>
    <row r="66" spans="1:1">
      <c r="A66" s="906"/>
    </row>
    <row r="67" spans="1:1">
      <c r="A67" s="906"/>
    </row>
    <row r="68" spans="1:1">
      <c r="A68" s="906"/>
    </row>
    <row r="69" spans="1:1">
      <c r="A69" s="906"/>
    </row>
    <row r="70" spans="1:1">
      <c r="A70" s="906"/>
    </row>
  </sheetData>
  <mergeCells count="4">
    <mergeCell ref="A1:K1"/>
    <mergeCell ref="A2:K2"/>
    <mergeCell ref="D3:G3"/>
    <mergeCell ref="H3:K3"/>
  </mergeCells>
  <pageMargins left="0.7" right="0.7" top="0.75" bottom="0.75" header="0.3" footer="0.3"/>
  <pageSetup paperSize="9" scale="71" orientation="portrait" r:id="rId1"/>
</worksheet>
</file>

<file path=xl/worksheets/sheet15.xml><?xml version="1.0" encoding="utf-8"?>
<worksheet xmlns="http://schemas.openxmlformats.org/spreadsheetml/2006/main" xmlns:r="http://schemas.openxmlformats.org/officeDocument/2006/relationships">
  <sheetPr enableFormatConditionsCalculation="0">
    <tabColor indexed="57"/>
  </sheetPr>
  <dimension ref="A1:T110"/>
  <sheetViews>
    <sheetView view="pageBreakPreview" topLeftCell="A19" zoomScale="80" zoomScaleSheetLayoutView="80" workbookViewId="0">
      <selection activeCell="G31" sqref="G31"/>
    </sheetView>
  </sheetViews>
  <sheetFormatPr defaultColWidth="9.140625" defaultRowHeight="18.75"/>
  <cols>
    <col min="1" max="1" width="7.140625" style="683" bestFit="1" customWidth="1"/>
    <col min="2" max="2" width="60.85546875" style="683" customWidth="1"/>
    <col min="3" max="3" width="8" style="683" customWidth="1"/>
    <col min="4" max="4" width="2.5703125" style="683" bestFit="1" customWidth="1"/>
    <col min="5" max="5" width="5.7109375" style="683" bestFit="1" customWidth="1"/>
    <col min="6" max="6" width="9.5703125" style="696" bestFit="1" customWidth="1"/>
    <col min="7" max="7" width="7.28515625" style="696" bestFit="1" customWidth="1"/>
    <col min="8" max="8" width="6.5703125" style="696" bestFit="1" customWidth="1"/>
    <col min="9" max="9" width="10.85546875" style="696" customWidth="1"/>
    <col min="10" max="10" width="9.7109375" style="697" bestFit="1" customWidth="1"/>
    <col min="11" max="11" width="13" style="697" customWidth="1"/>
    <col min="12" max="12" width="12" style="683" customWidth="1"/>
    <col min="13" max="13" width="15" style="683" customWidth="1"/>
    <col min="14" max="14" width="12.5703125" style="683" bestFit="1" customWidth="1"/>
    <col min="15" max="16" width="9.140625" style="683"/>
    <col min="17" max="17" width="15.28515625" style="683" customWidth="1"/>
    <col min="18" max="18" width="10.28515625" style="683" bestFit="1" customWidth="1"/>
    <col min="19" max="19" width="13.7109375" style="683" customWidth="1"/>
    <col min="20" max="16384" width="9.140625" style="683"/>
  </cols>
  <sheetData>
    <row r="1" spans="1:20">
      <c r="A1" s="1590" t="s">
        <v>1034</v>
      </c>
      <c r="B1" s="1591"/>
      <c r="C1" s="1591"/>
      <c r="D1" s="1591"/>
      <c r="E1" s="1591"/>
      <c r="F1" s="1591"/>
      <c r="G1" s="1591"/>
      <c r="H1" s="1591"/>
      <c r="I1" s="1591"/>
      <c r="J1" s="1591"/>
      <c r="K1" s="1591"/>
    </row>
    <row r="2" spans="1:20" ht="36.75" customHeight="1">
      <c r="A2" s="1593" t="s">
        <v>1102</v>
      </c>
      <c r="B2" s="1593"/>
      <c r="C2" s="1593"/>
      <c r="D2" s="1593"/>
      <c r="E2" s="1593"/>
      <c r="F2" s="1593"/>
      <c r="G2" s="1593"/>
      <c r="H2" s="1593"/>
      <c r="I2" s="1593"/>
      <c r="J2" s="1593"/>
      <c r="K2" s="1593"/>
    </row>
    <row r="3" spans="1:20">
      <c r="A3" s="1597" t="s">
        <v>973</v>
      </c>
      <c r="B3" s="1597" t="s">
        <v>156</v>
      </c>
      <c r="C3" s="1597" t="s">
        <v>157</v>
      </c>
      <c r="D3" s="1597"/>
      <c r="E3" s="1597"/>
      <c r="F3" s="1598" t="s">
        <v>158</v>
      </c>
      <c r="G3" s="1598"/>
      <c r="H3" s="1598"/>
      <c r="I3" s="1592" t="s">
        <v>159</v>
      </c>
      <c r="J3" s="1592" t="s">
        <v>160</v>
      </c>
      <c r="K3" s="1588" t="s">
        <v>161</v>
      </c>
      <c r="L3" s="683" t="s">
        <v>160</v>
      </c>
    </row>
    <row r="4" spans="1:20">
      <c r="A4" s="1597"/>
      <c r="B4" s="1597"/>
      <c r="C4" s="1597"/>
      <c r="D4" s="1597"/>
      <c r="E4" s="1597"/>
      <c r="F4" s="395" t="s">
        <v>39</v>
      </c>
      <c r="G4" s="395" t="s">
        <v>98</v>
      </c>
      <c r="H4" s="395" t="s">
        <v>162</v>
      </c>
      <c r="I4" s="1592"/>
      <c r="J4" s="1592"/>
      <c r="K4" s="1589"/>
    </row>
    <row r="5" spans="1:20" s="684" customFormat="1">
      <c r="A5" s="337">
        <v>1</v>
      </c>
      <c r="B5" s="337">
        <f>A5+1</f>
        <v>2</v>
      </c>
      <c r="C5" s="1596">
        <f>B5+1</f>
        <v>3</v>
      </c>
      <c r="D5" s="1596"/>
      <c r="E5" s="1596"/>
      <c r="F5" s="662">
        <f>C5+1</f>
        <v>4</v>
      </c>
      <c r="G5" s="662">
        <v>5</v>
      </c>
      <c r="H5" s="662">
        <v>6</v>
      </c>
      <c r="I5" s="662">
        <v>7</v>
      </c>
      <c r="J5" s="340">
        <v>8</v>
      </c>
      <c r="K5" s="340">
        <v>9</v>
      </c>
      <c r="L5" s="684">
        <v>8</v>
      </c>
    </row>
    <row r="6" spans="1:20" ht="236.25" customHeight="1">
      <c r="A6" s="624">
        <v>1</v>
      </c>
      <c r="B6" s="669" t="s">
        <v>958</v>
      </c>
      <c r="C6" s="678"/>
      <c r="D6" s="678"/>
      <c r="E6" s="678"/>
      <c r="F6" s="678"/>
      <c r="G6" s="678"/>
      <c r="H6" s="678"/>
      <c r="I6" s="678"/>
      <c r="J6" s="678"/>
      <c r="K6" s="678"/>
    </row>
    <row r="7" spans="1:20">
      <c r="A7" s="624"/>
      <c r="B7" s="669"/>
      <c r="C7" s="678"/>
      <c r="D7" s="678"/>
      <c r="E7" s="678"/>
      <c r="F7" s="678"/>
      <c r="G7" s="678"/>
      <c r="H7" s="678"/>
      <c r="I7" s="678"/>
      <c r="J7" s="678"/>
      <c r="K7" s="678"/>
    </row>
    <row r="8" spans="1:20">
      <c r="A8" s="391"/>
      <c r="B8" s="876" t="s">
        <v>974</v>
      </c>
      <c r="C8" s="392">
        <v>1</v>
      </c>
      <c r="D8" s="392" t="s">
        <v>163</v>
      </c>
      <c r="E8" s="405">
        <v>1</v>
      </c>
      <c r="F8" s="393">
        <v>13849</v>
      </c>
      <c r="G8" s="393">
        <v>0.9</v>
      </c>
      <c r="H8" s="393">
        <v>1.2</v>
      </c>
      <c r="I8" s="393">
        <f>C8*E8*F8*G8*H8</f>
        <v>14956.92</v>
      </c>
      <c r="J8" s="671"/>
      <c r="K8" s="672"/>
      <c r="N8" s="696">
        <f>I8*90%</f>
        <v>13461.228000000001</v>
      </c>
      <c r="P8" s="683" t="s">
        <v>1035</v>
      </c>
      <c r="Q8" s="683">
        <v>4055</v>
      </c>
      <c r="R8" s="683">
        <v>4100</v>
      </c>
      <c r="S8" s="812"/>
      <c r="T8" s="683">
        <f>R8/30</f>
        <v>136.66666666666666</v>
      </c>
    </row>
    <row r="9" spans="1:20">
      <c r="A9" s="391"/>
      <c r="B9" s="877" t="s">
        <v>975</v>
      </c>
      <c r="C9" s="392">
        <v>1</v>
      </c>
      <c r="D9" s="392" t="s">
        <v>163</v>
      </c>
      <c r="E9" s="405">
        <v>1</v>
      </c>
      <c r="F9" s="393">
        <v>724</v>
      </c>
      <c r="G9" s="393">
        <v>0.9</v>
      </c>
      <c r="H9" s="393">
        <v>1.2</v>
      </c>
      <c r="I9" s="393">
        <f>C9*E9*F9*G9*H9</f>
        <v>781.92</v>
      </c>
      <c r="J9" s="394"/>
      <c r="K9" s="672"/>
      <c r="N9" s="696">
        <f>I9*90%</f>
        <v>703.72799999999995</v>
      </c>
      <c r="P9" s="683" t="s">
        <v>1036</v>
      </c>
      <c r="Q9" s="683">
        <v>257</v>
      </c>
      <c r="R9" s="683">
        <v>275</v>
      </c>
      <c r="S9" s="812"/>
      <c r="T9" s="683">
        <f t="shared" ref="T9:T11" si="0">R9/30</f>
        <v>9.1666666666666661</v>
      </c>
    </row>
    <row r="10" spans="1:20">
      <c r="A10" s="391"/>
      <c r="B10" s="884" t="s">
        <v>1079</v>
      </c>
      <c r="C10" s="392">
        <v>1</v>
      </c>
      <c r="D10" s="392" t="s">
        <v>163</v>
      </c>
      <c r="E10" s="405">
        <v>1</v>
      </c>
      <c r="F10" s="393">
        <v>3171.22</v>
      </c>
      <c r="G10" s="393">
        <v>0.9</v>
      </c>
      <c r="H10" s="393">
        <v>1.2</v>
      </c>
      <c r="I10" s="393">
        <f>C10*E10*F10*G10*H10</f>
        <v>3424.9175999999998</v>
      </c>
      <c r="J10" s="394"/>
      <c r="K10" s="672"/>
      <c r="N10" s="696"/>
      <c r="S10" s="885"/>
    </row>
    <row r="11" spans="1:20">
      <c r="A11" s="391"/>
      <c r="B11" s="877" t="s">
        <v>976</v>
      </c>
      <c r="C11" s="392">
        <v>1</v>
      </c>
      <c r="D11" s="392" t="s">
        <v>163</v>
      </c>
      <c r="E11" s="405">
        <v>1</v>
      </c>
      <c r="F11" s="393">
        <v>235</v>
      </c>
      <c r="G11" s="393">
        <v>1.2</v>
      </c>
      <c r="H11" s="393">
        <v>1.2</v>
      </c>
      <c r="I11" s="393">
        <f>C11*E11*F11*G11*H11</f>
        <v>338.4</v>
      </c>
      <c r="J11" s="394"/>
      <c r="K11" s="672"/>
      <c r="N11" s="696">
        <f>I11*90%</f>
        <v>304.56</v>
      </c>
      <c r="P11" s="683" t="s">
        <v>1037</v>
      </c>
      <c r="Q11" s="683">
        <v>120</v>
      </c>
      <c r="R11" s="683">
        <v>150</v>
      </c>
      <c r="S11" s="812"/>
      <c r="T11" s="683">
        <f t="shared" si="0"/>
        <v>5</v>
      </c>
    </row>
    <row r="12" spans="1:20">
      <c r="A12" s="391"/>
      <c r="B12" s="884"/>
      <c r="C12" s="392"/>
      <c r="D12" s="392"/>
      <c r="E12" s="405"/>
      <c r="F12" s="393"/>
      <c r="G12" s="393"/>
      <c r="H12" s="393"/>
      <c r="I12" s="393"/>
      <c r="J12" s="394"/>
      <c r="K12" s="672"/>
      <c r="L12" s="683">
        <v>126.67411858333335</v>
      </c>
      <c r="N12" s="696"/>
      <c r="S12" s="885"/>
    </row>
    <row r="13" spans="1:20">
      <c r="A13" s="391"/>
      <c r="B13" s="877" t="s">
        <v>971</v>
      </c>
      <c r="C13" s="392">
        <v>1</v>
      </c>
      <c r="D13" s="392" t="s">
        <v>163</v>
      </c>
      <c r="E13" s="670">
        <v>788</v>
      </c>
      <c r="F13" s="673">
        <v>0.79500000000000004</v>
      </c>
      <c r="G13" s="393">
        <f>1.2*1.2</f>
        <v>1.44</v>
      </c>
      <c r="H13" s="393">
        <v>1.2</v>
      </c>
      <c r="I13" s="393">
        <f>C13*E13*F13*G13*H13</f>
        <v>1082.52288</v>
      </c>
      <c r="J13" s="394"/>
      <c r="K13" s="672"/>
      <c r="N13" s="696">
        <f>I13*90%</f>
        <v>974.27059199999997</v>
      </c>
      <c r="T13" s="683">
        <f>SUM(T8:T11)</f>
        <v>150.83333333333331</v>
      </c>
    </row>
    <row r="14" spans="1:20" ht="31.5">
      <c r="A14" s="391"/>
      <c r="B14" s="897" t="s">
        <v>1094</v>
      </c>
      <c r="C14" s="392">
        <v>1</v>
      </c>
      <c r="D14" s="392" t="s">
        <v>163</v>
      </c>
      <c r="E14" s="670">
        <v>160</v>
      </c>
      <c r="F14" s="673">
        <v>0.79500000000000004</v>
      </c>
      <c r="G14" s="393">
        <f>1.2*1.2</f>
        <v>1.44</v>
      </c>
      <c r="H14" s="393">
        <v>1.2</v>
      </c>
      <c r="I14" s="393">
        <f>C14*E14*F14*G14*H14</f>
        <v>219.80160000000001</v>
      </c>
      <c r="J14" s="394"/>
      <c r="K14" s="672"/>
      <c r="N14" s="696"/>
    </row>
    <row r="15" spans="1:20">
      <c r="A15" s="391"/>
      <c r="B15" s="655" t="s">
        <v>624</v>
      </c>
      <c r="C15" s="392"/>
      <c r="D15" s="392"/>
      <c r="E15" s="392"/>
      <c r="F15" s="393"/>
      <c r="G15" s="393"/>
      <c r="H15" s="393"/>
      <c r="I15" s="395">
        <f>SUM(I8:I14)</f>
        <v>20804.482080000002</v>
      </c>
      <c r="J15" s="405"/>
      <c r="K15" s="674"/>
      <c r="N15" s="697">
        <f>SUM(N8:N13)</f>
        <v>15443.786592</v>
      </c>
    </row>
    <row r="16" spans="1:20">
      <c r="A16" s="391"/>
      <c r="B16" s="1594" t="s">
        <v>1080</v>
      </c>
      <c r="C16" s="1595"/>
      <c r="D16" s="1595"/>
      <c r="E16" s="1595"/>
      <c r="F16" s="1595"/>
      <c r="G16" s="1595"/>
      <c r="H16" s="1595"/>
      <c r="I16" s="675">
        <f>ROUND(SUM(I8:I13)*80%,2)</f>
        <v>16467.740000000002</v>
      </c>
      <c r="J16" s="901">
        <f>'Datas P7'!G20</f>
        <v>123.7</v>
      </c>
      <c r="K16" s="677">
        <f>ROUND(I16*J16,0)</f>
        <v>2037059</v>
      </c>
      <c r="M16" s="683">
        <f t="shared" ref="M16:M26" si="1">K16*100/$K$91</f>
        <v>3.1718586896134213</v>
      </c>
    </row>
    <row r="17" spans="1:13">
      <c r="A17" s="391"/>
      <c r="B17" s="676"/>
      <c r="C17" s="392"/>
      <c r="D17" s="392"/>
      <c r="E17" s="392"/>
      <c r="F17" s="393"/>
      <c r="G17" s="393"/>
      <c r="H17" s="393"/>
      <c r="I17" s="395" t="s">
        <v>164</v>
      </c>
      <c r="J17" s="394"/>
      <c r="K17" s="672"/>
      <c r="L17" s="683">
        <v>289.86</v>
      </c>
      <c r="M17" s="683">
        <f t="shared" si="1"/>
        <v>0</v>
      </c>
    </row>
    <row r="18" spans="1:13" ht="225.75" customHeight="1">
      <c r="A18" s="624">
        <v>2</v>
      </c>
      <c r="B18" s="669" t="s">
        <v>972</v>
      </c>
      <c r="C18" s="669"/>
      <c r="D18" s="669"/>
      <c r="E18" s="669"/>
      <c r="F18" s="669"/>
      <c r="G18" s="669"/>
      <c r="H18" s="669"/>
      <c r="I18" s="669"/>
      <c r="J18" s="669"/>
      <c r="K18" s="669"/>
      <c r="M18" s="683">
        <f t="shared" si="1"/>
        <v>0</v>
      </c>
    </row>
    <row r="19" spans="1:13">
      <c r="A19" s="391"/>
      <c r="B19" s="698" t="s">
        <v>627</v>
      </c>
      <c r="C19" s="698"/>
      <c r="D19" s="698"/>
      <c r="E19" s="698"/>
      <c r="F19" s="698"/>
      <c r="G19" s="698"/>
      <c r="H19" s="698"/>
      <c r="I19" s="698"/>
      <c r="J19" s="394"/>
      <c r="K19" s="672"/>
      <c r="M19" s="683">
        <f t="shared" si="1"/>
        <v>0</v>
      </c>
    </row>
    <row r="20" spans="1:13">
      <c r="A20" s="391"/>
      <c r="B20" s="679" t="s">
        <v>625</v>
      </c>
      <c r="C20" s="392">
        <f>I15</f>
        <v>20804.482080000002</v>
      </c>
      <c r="D20" s="392"/>
      <c r="E20" s="392"/>
      <c r="F20" s="393"/>
      <c r="G20" s="393"/>
      <c r="H20" s="393"/>
      <c r="I20" s="393">
        <f>C20</f>
        <v>20804.482080000002</v>
      </c>
      <c r="J20" s="394"/>
      <c r="K20" s="672"/>
      <c r="M20" s="683">
        <f t="shared" si="1"/>
        <v>0</v>
      </c>
    </row>
    <row r="21" spans="1:13">
      <c r="A21" s="391"/>
      <c r="B21" s="680" t="s">
        <v>626</v>
      </c>
      <c r="C21" s="681">
        <v>0.2</v>
      </c>
      <c r="D21" s="392"/>
      <c r="E21" s="392"/>
      <c r="F21" s="393"/>
      <c r="G21" s="393"/>
      <c r="H21" s="393"/>
      <c r="I21" s="395">
        <f>ROUND(C21*I20,2)</f>
        <v>4160.8999999999996</v>
      </c>
      <c r="J21" s="901">
        <f>'Datas P7'!G67</f>
        <v>334.29</v>
      </c>
      <c r="K21" s="677">
        <f>ROUND(I21*J21,0)</f>
        <v>1390947</v>
      </c>
      <c r="M21" s="683">
        <f t="shared" si="1"/>
        <v>2.165812246352079</v>
      </c>
    </row>
    <row r="22" spans="1:13">
      <c r="A22" s="391"/>
      <c r="B22" s="680"/>
      <c r="C22" s="681"/>
      <c r="D22" s="392"/>
      <c r="E22" s="392"/>
      <c r="F22" s="393"/>
      <c r="G22" s="393"/>
      <c r="H22" s="393"/>
      <c r="I22" s="395" t="s">
        <v>109</v>
      </c>
      <c r="J22" s="394"/>
      <c r="K22" s="672"/>
      <c r="M22" s="683">
        <f t="shared" si="1"/>
        <v>0</v>
      </c>
    </row>
    <row r="23" spans="1:13" ht="123.75" customHeight="1">
      <c r="A23" s="624">
        <f>A18+1</f>
        <v>3</v>
      </c>
      <c r="B23" s="669" t="s">
        <v>1077</v>
      </c>
      <c r="C23" s="678"/>
      <c r="D23" s="678"/>
      <c r="E23" s="678"/>
      <c r="F23" s="678"/>
      <c r="G23" s="678"/>
      <c r="H23" s="678"/>
      <c r="I23" s="678"/>
      <c r="J23" s="678"/>
      <c r="K23" s="678"/>
      <c r="L23" s="683">
        <v>1070.28</v>
      </c>
      <c r="M23" s="683">
        <f t="shared" si="1"/>
        <v>0</v>
      </c>
    </row>
    <row r="24" spans="1:13">
      <c r="A24" s="391"/>
      <c r="B24" s="883" t="s">
        <v>974</v>
      </c>
      <c r="C24" s="392">
        <v>1</v>
      </c>
      <c r="D24" s="392" t="s">
        <v>163</v>
      </c>
      <c r="E24" s="405">
        <v>1</v>
      </c>
      <c r="F24" s="393">
        <v>13849</v>
      </c>
      <c r="G24" s="393">
        <v>0.9</v>
      </c>
      <c r="H24" s="393">
        <v>0.1</v>
      </c>
      <c r="I24" s="393">
        <f>H24*G24*F24*E24</f>
        <v>1246.4100000000001</v>
      </c>
      <c r="J24" s="394"/>
      <c r="K24" s="672"/>
      <c r="M24" s="683">
        <f t="shared" si="1"/>
        <v>0</v>
      </c>
    </row>
    <row r="25" spans="1:13">
      <c r="A25" s="391"/>
      <c r="B25" s="884" t="s">
        <v>975</v>
      </c>
      <c r="C25" s="392">
        <v>1</v>
      </c>
      <c r="D25" s="392" t="s">
        <v>163</v>
      </c>
      <c r="E25" s="405">
        <v>1</v>
      </c>
      <c r="F25" s="393">
        <v>724</v>
      </c>
      <c r="G25" s="393">
        <v>0.9</v>
      </c>
      <c r="H25" s="393">
        <v>0.1</v>
      </c>
      <c r="I25" s="393">
        <f t="shared" ref="I25:I28" si="2">H25*G25*F25*E25</f>
        <v>65.160000000000011</v>
      </c>
      <c r="J25" s="394"/>
      <c r="K25" s="672"/>
      <c r="M25" s="683">
        <f t="shared" si="1"/>
        <v>0</v>
      </c>
    </row>
    <row r="26" spans="1:13">
      <c r="A26" s="391"/>
      <c r="B26" s="884" t="s">
        <v>1079</v>
      </c>
      <c r="C26" s="392">
        <v>1</v>
      </c>
      <c r="D26" s="392" t="s">
        <v>163</v>
      </c>
      <c r="E26" s="405">
        <v>1</v>
      </c>
      <c r="F26" s="393">
        <v>3171.22</v>
      </c>
      <c r="G26" s="393">
        <v>0.9</v>
      </c>
      <c r="H26" s="393">
        <v>0.1</v>
      </c>
      <c r="I26" s="393">
        <f t="shared" si="2"/>
        <v>285.40980000000002</v>
      </c>
      <c r="J26" s="394"/>
      <c r="K26" s="672"/>
      <c r="M26" s="683">
        <f t="shared" si="1"/>
        <v>0</v>
      </c>
    </row>
    <row r="27" spans="1:13">
      <c r="A27" s="391"/>
      <c r="B27" s="884" t="s">
        <v>976</v>
      </c>
      <c r="C27" s="392">
        <v>1</v>
      </c>
      <c r="D27" s="392" t="s">
        <v>163</v>
      </c>
      <c r="E27" s="405">
        <v>1</v>
      </c>
      <c r="F27" s="393">
        <v>235</v>
      </c>
      <c r="G27" s="393">
        <v>1.2</v>
      </c>
      <c r="H27" s="393">
        <v>0.1</v>
      </c>
      <c r="I27" s="393">
        <f t="shared" si="2"/>
        <v>28.2</v>
      </c>
      <c r="J27" s="394"/>
      <c r="K27" s="672"/>
    </row>
    <row r="28" spans="1:13">
      <c r="A28" s="391"/>
      <c r="B28" s="884" t="s">
        <v>971</v>
      </c>
      <c r="C28" s="392">
        <v>1</v>
      </c>
      <c r="D28" s="392" t="s">
        <v>163</v>
      </c>
      <c r="E28" s="670">
        <v>895</v>
      </c>
      <c r="F28" s="673">
        <v>1.5</v>
      </c>
      <c r="G28" s="393">
        <v>1.5</v>
      </c>
      <c r="H28" s="393">
        <v>0.1</v>
      </c>
      <c r="I28" s="393">
        <f t="shared" si="2"/>
        <v>201.37500000000003</v>
      </c>
      <c r="J28" s="394"/>
      <c r="K28" s="672"/>
    </row>
    <row r="29" spans="1:13">
      <c r="A29" s="391"/>
      <c r="B29" s="676"/>
      <c r="C29" s="392"/>
      <c r="D29" s="392"/>
      <c r="E29" s="392"/>
      <c r="F29" s="393"/>
      <c r="G29" s="393"/>
      <c r="H29" s="393"/>
      <c r="I29" s="675">
        <f>ROUND(SUM(I24:I28),2)</f>
        <v>1826.55</v>
      </c>
      <c r="J29" s="901">
        <f>'Datas P7'!G131</f>
        <v>1807.92</v>
      </c>
      <c r="K29" s="677">
        <f>ROUND(I29*J29,0)</f>
        <v>3302256</v>
      </c>
      <c r="M29" s="683">
        <f t="shared" ref="M29:M36" si="3">K29*100/$K$91</f>
        <v>5.1418684431467412</v>
      </c>
    </row>
    <row r="30" spans="1:13">
      <c r="A30" s="391"/>
      <c r="B30" s="676"/>
      <c r="C30" s="392"/>
      <c r="D30" s="392"/>
      <c r="E30" s="392"/>
      <c r="F30" s="393"/>
      <c r="G30" s="393"/>
      <c r="H30" s="393"/>
      <c r="I30" s="675" t="s">
        <v>109</v>
      </c>
      <c r="J30" s="394"/>
      <c r="K30" s="677"/>
      <c r="M30" s="683">
        <f t="shared" si="3"/>
        <v>0</v>
      </c>
    </row>
    <row r="31" spans="1:13" ht="141.75">
      <c r="A31" s="624">
        <f>+A23+1</f>
        <v>4</v>
      </c>
      <c r="B31" s="669" t="s">
        <v>985</v>
      </c>
      <c r="C31" s="669"/>
      <c r="D31" s="669"/>
      <c r="E31" s="669"/>
      <c r="F31" s="669"/>
      <c r="G31" s="669"/>
      <c r="H31" s="669"/>
      <c r="I31" s="669"/>
      <c r="J31" s="669"/>
      <c r="K31" s="669"/>
      <c r="M31" s="683">
        <f t="shared" si="3"/>
        <v>0</v>
      </c>
    </row>
    <row r="32" spans="1:13">
      <c r="A32" s="391"/>
      <c r="B32" s="699" t="s">
        <v>1082</v>
      </c>
      <c r="C32" s="392"/>
      <c r="D32" s="392"/>
      <c r="E32" s="392"/>
      <c r="F32" s="393"/>
      <c r="G32" s="393"/>
      <c r="H32" s="673"/>
      <c r="I32" s="650">
        <f>I15</f>
        <v>20804.482080000002</v>
      </c>
      <c r="J32" s="394"/>
      <c r="K32" s="672"/>
      <c r="M32" s="683">
        <f t="shared" si="3"/>
        <v>0</v>
      </c>
    </row>
    <row r="33" spans="1:20">
      <c r="A33" s="391"/>
      <c r="B33" s="699"/>
      <c r="C33" s="392"/>
      <c r="D33" s="392"/>
      <c r="E33" s="392"/>
      <c r="F33" s="393"/>
      <c r="G33" s="393"/>
      <c r="H33" s="673"/>
      <c r="I33" s="650"/>
      <c r="J33" s="394"/>
      <c r="K33" s="672"/>
      <c r="L33" s="683">
        <v>37.623757083333331</v>
      </c>
      <c r="M33" s="683">
        <f t="shared" si="3"/>
        <v>0</v>
      </c>
      <c r="O33" s="726"/>
    </row>
    <row r="34" spans="1:20">
      <c r="A34" s="391"/>
      <c r="B34" s="699"/>
      <c r="C34" s="392"/>
      <c r="D34" s="392"/>
      <c r="E34" s="392"/>
      <c r="F34" s="393"/>
      <c r="G34" s="393"/>
      <c r="H34" s="673"/>
      <c r="I34" s="650"/>
      <c r="J34" s="394"/>
      <c r="K34" s="672"/>
      <c r="M34" s="683">
        <f t="shared" si="3"/>
        <v>0</v>
      </c>
    </row>
    <row r="35" spans="1:20">
      <c r="A35" s="391"/>
      <c r="B35" s="699" t="s">
        <v>977</v>
      </c>
      <c r="C35" s="392">
        <v>1</v>
      </c>
      <c r="D35" s="392" t="s">
        <v>163</v>
      </c>
      <c r="E35" s="392">
        <v>1</v>
      </c>
      <c r="F35" s="393">
        <f>F8</f>
        <v>13849</v>
      </c>
      <c r="G35" s="673">
        <v>0.79500000000000004</v>
      </c>
      <c r="H35" s="673">
        <f>0.2*0.2</f>
        <v>4.0000000000000008E-2</v>
      </c>
      <c r="I35" s="836">
        <f>-C35*E35*F35*G35*H35</f>
        <v>-440.39820000000009</v>
      </c>
      <c r="J35" s="394"/>
      <c r="K35" s="672"/>
      <c r="M35" s="683">
        <f t="shared" si="3"/>
        <v>0</v>
      </c>
    </row>
    <row r="36" spans="1:20">
      <c r="A36" s="391"/>
      <c r="B36" s="699" t="s">
        <v>721</v>
      </c>
      <c r="C36" s="392">
        <v>1</v>
      </c>
      <c r="D36" s="392" t="s">
        <v>163</v>
      </c>
      <c r="E36" s="392">
        <v>1</v>
      </c>
      <c r="F36" s="393">
        <f>F9</f>
        <v>724</v>
      </c>
      <c r="G36" s="673">
        <v>0.79500000000000004</v>
      </c>
      <c r="H36" s="673">
        <f>0.3*0.3</f>
        <v>0.09</v>
      </c>
      <c r="I36" s="836">
        <f>-C36*E36*F36*G36*H36</f>
        <v>-51.802199999999999</v>
      </c>
      <c r="J36" s="394"/>
      <c r="K36" s="672"/>
      <c r="L36" s="683">
        <v>1011.28</v>
      </c>
      <c r="M36" s="683">
        <f t="shared" si="3"/>
        <v>0</v>
      </c>
    </row>
    <row r="37" spans="1:20">
      <c r="A37" s="391"/>
      <c r="B37" s="699" t="s">
        <v>721</v>
      </c>
      <c r="C37" s="392">
        <v>1</v>
      </c>
      <c r="D37" s="392" t="s">
        <v>163</v>
      </c>
      <c r="E37" s="392">
        <v>1</v>
      </c>
      <c r="F37" s="393">
        <f>F10</f>
        <v>3171.22</v>
      </c>
      <c r="G37" s="673">
        <v>0.79500000000000004</v>
      </c>
      <c r="H37" s="673">
        <f>0.3*0.3</f>
        <v>0.09</v>
      </c>
      <c r="I37" s="836">
        <f>-C37*E37*F37*G37*H37</f>
        <v>-226.900791</v>
      </c>
      <c r="J37" s="394"/>
      <c r="K37" s="672"/>
    </row>
    <row r="38" spans="1:20">
      <c r="A38" s="391"/>
      <c r="B38" s="699" t="s">
        <v>722</v>
      </c>
      <c r="C38" s="392">
        <v>1</v>
      </c>
      <c r="D38" s="392" t="s">
        <v>163</v>
      </c>
      <c r="E38" s="392">
        <v>1</v>
      </c>
      <c r="F38" s="393">
        <f>F11</f>
        <v>235</v>
      </c>
      <c r="G38" s="673">
        <v>0.79500000000000004</v>
      </c>
      <c r="H38" s="673">
        <f>0.45*0.45</f>
        <v>0.20250000000000001</v>
      </c>
      <c r="I38" s="836">
        <f>-C38*E38*F38*G38*H38</f>
        <v>-37.832062500000006</v>
      </c>
      <c r="J38" s="394"/>
      <c r="K38" s="672"/>
      <c r="L38" s="683">
        <v>1625.73</v>
      </c>
      <c r="M38" s="683">
        <f t="shared" ref="M38:M50" si="4">K38*100/$K$91</f>
        <v>0</v>
      </c>
    </row>
    <row r="39" spans="1:20">
      <c r="A39" s="391"/>
      <c r="B39" s="699" t="s">
        <v>726</v>
      </c>
      <c r="C39" s="392"/>
      <c r="D39" s="392"/>
      <c r="E39" s="392"/>
      <c r="F39" s="393"/>
      <c r="G39" s="393"/>
      <c r="H39" s="393"/>
      <c r="I39" s="395">
        <f>-I29</f>
        <v>-1826.55</v>
      </c>
      <c r="J39" s="394"/>
      <c r="K39" s="672"/>
      <c r="M39" s="683">
        <f t="shared" si="4"/>
        <v>0</v>
      </c>
      <c r="O39" s="683">
        <f>0.2+0.45</f>
        <v>0.65</v>
      </c>
    </row>
    <row r="40" spans="1:20">
      <c r="A40" s="391"/>
      <c r="B40" s="676"/>
      <c r="C40" s="392"/>
      <c r="D40" s="392"/>
      <c r="E40" s="392"/>
      <c r="F40" s="393"/>
      <c r="G40" s="393"/>
      <c r="H40" s="393"/>
      <c r="I40" s="395">
        <f>ROUND(SUM(I32:I39),2)</f>
        <v>18221</v>
      </c>
      <c r="J40" s="901">
        <f>'Datas P7'!G142</f>
        <v>33.75</v>
      </c>
      <c r="K40" s="677">
        <f>ROUND(I40*J40,0)</f>
        <v>614959</v>
      </c>
      <c r="M40" s="683">
        <f t="shared" si="4"/>
        <v>0.95753880859905383</v>
      </c>
    </row>
    <row r="41" spans="1:20">
      <c r="A41" s="391"/>
      <c r="B41" s="676"/>
      <c r="C41" s="392"/>
      <c r="D41" s="392"/>
      <c r="E41" s="392"/>
      <c r="F41" s="393"/>
      <c r="G41" s="393"/>
      <c r="H41" s="393"/>
      <c r="I41" s="395" t="s">
        <v>109</v>
      </c>
      <c r="J41" s="394"/>
      <c r="K41" s="677"/>
      <c r="L41" s="683">
        <v>1696.9099999999999</v>
      </c>
      <c r="M41" s="683">
        <f t="shared" si="4"/>
        <v>0</v>
      </c>
    </row>
    <row r="42" spans="1:20" ht="146.25" customHeight="1">
      <c r="A42" s="624">
        <f>A31+1</f>
        <v>5</v>
      </c>
      <c r="B42" s="669" t="s">
        <v>970</v>
      </c>
      <c r="C42" s="874"/>
      <c r="D42" s="874"/>
      <c r="E42" s="874"/>
      <c r="F42" s="721"/>
      <c r="G42" s="721"/>
      <c r="H42" s="721"/>
      <c r="I42" s="721"/>
      <c r="J42" s="721"/>
      <c r="K42" s="721"/>
      <c r="L42" s="683">
        <v>2768.28</v>
      </c>
      <c r="M42" s="683">
        <f t="shared" si="4"/>
        <v>0</v>
      </c>
    </row>
    <row r="43" spans="1:20">
      <c r="A43" s="624"/>
      <c r="B43" s="669" t="s">
        <v>978</v>
      </c>
      <c r="C43" s="878">
        <v>1</v>
      </c>
      <c r="D43" s="878" t="s">
        <v>163</v>
      </c>
      <c r="E43" s="878">
        <v>1</v>
      </c>
      <c r="F43" s="728">
        <f>F8</f>
        <v>13849</v>
      </c>
      <c r="G43" s="878" t="s">
        <v>108</v>
      </c>
      <c r="H43" s="878" t="s">
        <v>108</v>
      </c>
      <c r="I43" s="722">
        <f>F43</f>
        <v>13849</v>
      </c>
      <c r="J43" s="903">
        <f>'stoneware pipes'!G58</f>
        <v>1444.09</v>
      </c>
      <c r="K43" s="677">
        <f>ROUND(I43*J43,0)</f>
        <v>19999202</v>
      </c>
      <c r="L43" s="683" t="s">
        <v>165</v>
      </c>
      <c r="M43" s="683">
        <f t="shared" si="4"/>
        <v>31.140307005852119</v>
      </c>
    </row>
    <row r="44" spans="1:20">
      <c r="A44" s="391"/>
      <c r="B44" s="676"/>
      <c r="C44" s="718"/>
      <c r="D44" s="718"/>
      <c r="E44" s="718"/>
      <c r="F44" s="650"/>
      <c r="G44" s="650"/>
      <c r="H44" s="650"/>
      <c r="I44" s="675" t="s">
        <v>557</v>
      </c>
      <c r="J44" s="719"/>
      <c r="K44" s="720"/>
      <c r="L44" s="683" t="s">
        <v>166</v>
      </c>
      <c r="M44" s="683">
        <f t="shared" si="4"/>
        <v>0</v>
      </c>
    </row>
    <row r="45" spans="1:20" ht="189">
      <c r="A45" s="624">
        <f>A42+1</f>
        <v>6</v>
      </c>
      <c r="B45" s="669" t="s">
        <v>959</v>
      </c>
      <c r="C45" s="669"/>
      <c r="D45" s="669"/>
      <c r="E45" s="669"/>
      <c r="F45" s="669"/>
      <c r="G45" s="669"/>
      <c r="H45" s="669"/>
      <c r="I45" s="669"/>
      <c r="J45" s="669"/>
      <c r="K45" s="669"/>
      <c r="L45" s="683">
        <v>8244.41</v>
      </c>
      <c r="M45" s="683">
        <f t="shared" si="4"/>
        <v>0</v>
      </c>
    </row>
    <row r="46" spans="1:20">
      <c r="A46" s="391"/>
      <c r="B46" s="652" t="s">
        <v>765</v>
      </c>
      <c r="C46" s="392">
        <v>1</v>
      </c>
      <c r="D46" s="392" t="s">
        <v>163</v>
      </c>
      <c r="E46" s="392">
        <v>1</v>
      </c>
      <c r="F46" s="393">
        <f>F25+F26</f>
        <v>3895.22</v>
      </c>
      <c r="G46" s="393"/>
      <c r="H46" s="393"/>
      <c r="I46" s="393">
        <f>C46*E46*F46</f>
        <v>3895.22</v>
      </c>
      <c r="J46" s="901">
        <f>pipes!I13</f>
        <v>1675.25</v>
      </c>
      <c r="K46" s="677">
        <f>ROUND(I46*J46,0)</f>
        <v>6525467</v>
      </c>
      <c r="L46" s="683">
        <v>8035.83</v>
      </c>
      <c r="M46" s="683">
        <f t="shared" si="4"/>
        <v>10.160657697069954</v>
      </c>
      <c r="P46" s="683">
        <f>F46/30</f>
        <v>129.84066666666666</v>
      </c>
      <c r="Q46" s="683">
        <v>15</v>
      </c>
    </row>
    <row r="47" spans="1:20">
      <c r="A47" s="391"/>
      <c r="B47" s="652" t="s">
        <v>723</v>
      </c>
      <c r="C47" s="392">
        <v>1</v>
      </c>
      <c r="D47" s="392" t="s">
        <v>163</v>
      </c>
      <c r="E47" s="392">
        <v>1</v>
      </c>
      <c r="F47" s="393">
        <f>F27</f>
        <v>235</v>
      </c>
      <c r="G47" s="393"/>
      <c r="H47" s="393"/>
      <c r="I47" s="393">
        <f>C47*E47*F47</f>
        <v>235</v>
      </c>
      <c r="J47" s="901">
        <f>pipes!I14</f>
        <v>2639.96</v>
      </c>
      <c r="K47" s="677">
        <f>ROUND(I47*J47,0)</f>
        <v>620391</v>
      </c>
      <c r="L47" s="683">
        <v>7537.0800000000008</v>
      </c>
      <c r="M47" s="683">
        <f t="shared" si="4"/>
        <v>0.96599685345783315</v>
      </c>
      <c r="P47" s="683">
        <f>F47/30</f>
        <v>7.833333333333333</v>
      </c>
      <c r="Q47" s="683">
        <v>15</v>
      </c>
      <c r="S47" s="683">
        <v>80</v>
      </c>
    </row>
    <row r="48" spans="1:20">
      <c r="A48" s="391"/>
      <c r="B48" s="670"/>
      <c r="C48" s="392"/>
      <c r="D48" s="392"/>
      <c r="E48" s="392"/>
      <c r="F48" s="393"/>
      <c r="G48" s="393"/>
      <c r="H48" s="393"/>
      <c r="I48" s="395"/>
      <c r="J48" s="394" t="s">
        <v>165</v>
      </c>
      <c r="K48" s="672"/>
      <c r="M48" s="683">
        <f t="shared" si="4"/>
        <v>0</v>
      </c>
      <c r="Q48" s="683">
        <f>SUM(Q46:Q47)</f>
        <v>30</v>
      </c>
      <c r="T48" s="683">
        <f>Q48+S47</f>
        <v>110</v>
      </c>
    </row>
    <row r="49" spans="1:17" ht="249" customHeight="1">
      <c r="A49" s="624">
        <f>A45+1</f>
        <v>7</v>
      </c>
      <c r="B49" s="669" t="s">
        <v>960</v>
      </c>
      <c r="C49" s="669"/>
      <c r="D49" s="669"/>
      <c r="E49" s="669"/>
      <c r="F49" s="669"/>
      <c r="G49" s="669"/>
      <c r="H49" s="669"/>
      <c r="I49" s="669"/>
      <c r="J49" s="669" t="s">
        <v>166</v>
      </c>
      <c r="K49" s="669"/>
      <c r="M49" s="683">
        <f t="shared" si="4"/>
        <v>0</v>
      </c>
    </row>
    <row r="50" spans="1:17">
      <c r="A50" s="391"/>
      <c r="B50" s="670" t="s">
        <v>979</v>
      </c>
      <c r="C50" s="392">
        <v>1</v>
      </c>
      <c r="D50" s="392" t="s">
        <v>163</v>
      </c>
      <c r="E50" s="392">
        <v>461</v>
      </c>
      <c r="F50" s="393"/>
      <c r="G50" s="393"/>
      <c r="H50" s="393"/>
      <c r="I50" s="395">
        <f>C50*E50</f>
        <v>461</v>
      </c>
      <c r="J50" s="901">
        <f>'Man hole with 2nd Class  Bricks'!G64</f>
        <v>8246.7799999999988</v>
      </c>
      <c r="K50" s="677">
        <f>ROUND(I50*J50,0)</f>
        <v>3801766</v>
      </c>
      <c r="L50" s="683">
        <v>913.79384615384629</v>
      </c>
      <c r="M50" s="683">
        <f t="shared" si="4"/>
        <v>5.9196442140246592</v>
      </c>
      <c r="N50" s="683">
        <f>170-50</f>
        <v>120</v>
      </c>
      <c r="O50" s="683">
        <f>1160/25</f>
        <v>46.4</v>
      </c>
    </row>
    <row r="51" spans="1:17">
      <c r="A51" s="391"/>
      <c r="B51" s="670" t="s">
        <v>1089</v>
      </c>
      <c r="C51" s="392">
        <v>1</v>
      </c>
      <c r="D51" s="392" t="s">
        <v>163</v>
      </c>
      <c r="E51" s="392">
        <v>6</v>
      </c>
      <c r="F51" s="393"/>
      <c r="G51" s="393"/>
      <c r="H51" s="393"/>
      <c r="I51" s="395">
        <f>C51*E51</f>
        <v>6</v>
      </c>
      <c r="J51" s="901">
        <f>'Man hole with 2nd Class  Bricks'!G82</f>
        <v>7541.51</v>
      </c>
      <c r="K51" s="677">
        <f>ROUND(I51*J51,0)</f>
        <v>45249</v>
      </c>
    </row>
    <row r="52" spans="1:17">
      <c r="A52" s="391"/>
      <c r="B52" s="670" t="s">
        <v>1090</v>
      </c>
      <c r="C52" s="392">
        <v>1</v>
      </c>
      <c r="D52" s="392" t="s">
        <v>163</v>
      </c>
      <c r="E52" s="392">
        <v>1</v>
      </c>
      <c r="F52" s="393"/>
      <c r="G52" s="393"/>
      <c r="H52" s="393"/>
      <c r="I52" s="395">
        <f>C52*E52</f>
        <v>1</v>
      </c>
      <c r="J52" s="901">
        <f>'Man hole with 2nd Class  Bricks'!G101</f>
        <v>6595.26</v>
      </c>
      <c r="K52" s="677">
        <f>ROUND(I52*J52,0)</f>
        <v>6595</v>
      </c>
    </row>
    <row r="53" spans="1:17">
      <c r="A53" s="391"/>
      <c r="B53" s="670"/>
      <c r="C53" s="392"/>
      <c r="D53" s="392"/>
      <c r="E53" s="392"/>
      <c r="F53" s="393"/>
      <c r="G53" s="393"/>
      <c r="H53" s="393"/>
      <c r="I53" s="395" t="s">
        <v>980</v>
      </c>
      <c r="J53" s="394"/>
      <c r="K53" s="677"/>
      <c r="L53" s="683">
        <v>18677.949999999997</v>
      </c>
      <c r="M53" s="683">
        <f t="shared" ref="M53:M92" si="5">K53*100/$K$91</f>
        <v>0</v>
      </c>
    </row>
    <row r="54" spans="1:17" ht="234.75" customHeight="1">
      <c r="A54" s="624">
        <f>A49+1</f>
        <v>8</v>
      </c>
      <c r="B54" s="669" t="s">
        <v>961</v>
      </c>
      <c r="C54" s="669"/>
      <c r="D54" s="669"/>
      <c r="E54" s="669"/>
      <c r="F54" s="669"/>
      <c r="G54" s="669"/>
      <c r="H54" s="669"/>
      <c r="I54" s="669"/>
      <c r="J54" s="669"/>
      <c r="K54" s="669"/>
      <c r="L54" s="683">
        <v>17907.14</v>
      </c>
      <c r="M54" s="683">
        <f t="shared" si="5"/>
        <v>0</v>
      </c>
      <c r="O54" s="683">
        <f>55*6</f>
        <v>330</v>
      </c>
    </row>
    <row r="55" spans="1:17">
      <c r="A55" s="391"/>
      <c r="B55" s="670"/>
      <c r="C55" s="392">
        <v>1</v>
      </c>
      <c r="D55" s="392" t="s">
        <v>163</v>
      </c>
      <c r="E55" s="392">
        <f>914+18+0</f>
        <v>932</v>
      </c>
      <c r="F55" s="393"/>
      <c r="G55" s="393"/>
      <c r="H55" s="393"/>
      <c r="I55" s="395">
        <f>E55</f>
        <v>932</v>
      </c>
      <c r="J55" s="901">
        <f>'Man hole with 2nd Class  Bricks'!G112</f>
        <v>842.19</v>
      </c>
      <c r="K55" s="677">
        <f>ROUND(I55*J55,0)</f>
        <v>784921</v>
      </c>
      <c r="L55" s="683">
        <v>19004.739999999998</v>
      </c>
      <c r="M55" s="683">
        <f t="shared" si="5"/>
        <v>1.2221828108611759</v>
      </c>
    </row>
    <row r="56" spans="1:17">
      <c r="A56" s="391"/>
      <c r="B56" s="670"/>
      <c r="C56" s="392"/>
      <c r="D56" s="392"/>
      <c r="E56" s="392"/>
      <c r="F56" s="393"/>
      <c r="G56" s="393"/>
      <c r="H56" s="393"/>
      <c r="I56" s="395" t="s">
        <v>980</v>
      </c>
      <c r="J56" s="394"/>
      <c r="K56" s="672"/>
      <c r="M56" s="683">
        <f t="shared" si="5"/>
        <v>0</v>
      </c>
    </row>
    <row r="57" spans="1:17" ht="239.25" customHeight="1">
      <c r="A57" s="624">
        <f>A54+1</f>
        <v>9</v>
      </c>
      <c r="B57" s="669" t="s">
        <v>981</v>
      </c>
      <c r="C57" s="669"/>
      <c r="D57" s="669"/>
      <c r="E57" s="669"/>
      <c r="F57" s="669"/>
      <c r="G57" s="669"/>
      <c r="H57" s="669"/>
      <c r="I57" s="669"/>
      <c r="J57" s="669"/>
      <c r="K57" s="669"/>
      <c r="M57" s="683">
        <f t="shared" si="5"/>
        <v>0</v>
      </c>
    </row>
    <row r="58" spans="1:17">
      <c r="A58" s="624"/>
      <c r="B58" s="624" t="s">
        <v>1093</v>
      </c>
      <c r="C58" s="898">
        <v>1</v>
      </c>
      <c r="D58" s="898" t="s">
        <v>163</v>
      </c>
      <c r="E58" s="898">
        <v>98</v>
      </c>
      <c r="F58" s="669"/>
      <c r="G58" s="669"/>
      <c r="H58" s="669"/>
      <c r="I58" s="395">
        <f>E58</f>
        <v>98</v>
      </c>
      <c r="J58" s="905">
        <f>'Man hole with 2nd Class  Bricks'!G151</f>
        <v>18736.02</v>
      </c>
      <c r="K58" s="677">
        <f>ROUND(I58*J58,0)</f>
        <v>1836130</v>
      </c>
      <c r="L58" s="683">
        <v>1814.08</v>
      </c>
    </row>
    <row r="59" spans="1:17">
      <c r="A59" s="391"/>
      <c r="B59" s="624" t="s">
        <v>1091</v>
      </c>
      <c r="C59" s="392">
        <v>1</v>
      </c>
      <c r="D59" s="392" t="s">
        <v>163</v>
      </c>
      <c r="E59" s="392">
        <v>4</v>
      </c>
      <c r="F59" s="393"/>
      <c r="G59" s="393"/>
      <c r="H59" s="393"/>
      <c r="I59" s="395">
        <f>E59</f>
        <v>4</v>
      </c>
      <c r="J59" s="901">
        <f>'Man hole with 2nd Class  Bricks'!G172</f>
        <v>17636.280000000002</v>
      </c>
      <c r="K59" s="677">
        <f>ROUND(I59*J59,0)</f>
        <v>70545</v>
      </c>
      <c r="M59" s="683">
        <f t="shared" si="5"/>
        <v>0.10984403066321535</v>
      </c>
      <c r="O59" s="683">
        <f>270/30</f>
        <v>9</v>
      </c>
      <c r="P59" s="683">
        <v>10</v>
      </c>
    </row>
    <row r="60" spans="1:17" ht="31.5">
      <c r="A60" s="391"/>
      <c r="B60" s="624" t="s">
        <v>1101</v>
      </c>
      <c r="C60" s="392">
        <v>1</v>
      </c>
      <c r="D60" s="392" t="s">
        <v>163</v>
      </c>
      <c r="E60" s="392">
        <v>160</v>
      </c>
      <c r="F60" s="393"/>
      <c r="G60" s="393"/>
      <c r="H60" s="393"/>
      <c r="I60" s="395">
        <f>E60</f>
        <v>160</v>
      </c>
      <c r="J60" s="901">
        <f>'Man hole with 2nd Class  Bricks'!G172</f>
        <v>17636.280000000002</v>
      </c>
      <c r="K60" s="677">
        <f>ROUND(I60*J60,0)</f>
        <v>2821805</v>
      </c>
    </row>
    <row r="61" spans="1:17">
      <c r="A61" s="391"/>
      <c r="B61" s="624" t="s">
        <v>1092</v>
      </c>
      <c r="C61" s="392">
        <v>1</v>
      </c>
      <c r="D61" s="392" t="s">
        <v>163</v>
      </c>
      <c r="E61" s="392">
        <v>3</v>
      </c>
      <c r="F61" s="393"/>
      <c r="G61" s="393"/>
      <c r="H61" s="393"/>
      <c r="I61" s="395">
        <f>E61</f>
        <v>3</v>
      </c>
      <c r="J61" s="901">
        <f>'Man hole with 2nd Class  Bricks'!G241</f>
        <v>16780.86</v>
      </c>
      <c r="K61" s="677">
        <f>ROUND(I61*J61,0)</f>
        <v>50343</v>
      </c>
      <c r="L61" s="683">
        <v>0</v>
      </c>
      <c r="M61" s="683">
        <f t="shared" si="5"/>
        <v>7.8387951459043884E-2</v>
      </c>
      <c r="O61" s="683">
        <f>450/30</f>
        <v>15</v>
      </c>
      <c r="P61" s="683">
        <v>15</v>
      </c>
    </row>
    <row r="62" spans="1:17">
      <c r="A62" s="391"/>
      <c r="B62" s="624"/>
      <c r="C62" s="392"/>
      <c r="D62" s="392"/>
      <c r="E62" s="392"/>
      <c r="F62" s="393"/>
      <c r="G62" s="393"/>
      <c r="H62" s="393"/>
      <c r="I62" s="395" t="s">
        <v>980</v>
      </c>
      <c r="J62" s="394"/>
      <c r="K62" s="677"/>
      <c r="L62" s="683">
        <v>0</v>
      </c>
      <c r="M62" s="683">
        <f t="shared" si="5"/>
        <v>0</v>
      </c>
    </row>
    <row r="63" spans="1:17" ht="228" customHeight="1">
      <c r="A63" s="624">
        <f>A57+1</f>
        <v>10</v>
      </c>
      <c r="B63" s="669" t="s">
        <v>962</v>
      </c>
      <c r="C63" s="669"/>
      <c r="D63" s="669"/>
      <c r="E63" s="669"/>
      <c r="F63" s="669"/>
      <c r="G63" s="669"/>
      <c r="H63" s="669"/>
      <c r="I63" s="669"/>
      <c r="J63" s="669"/>
      <c r="K63" s="669"/>
      <c r="L63" s="683">
        <v>38505.390000000007</v>
      </c>
      <c r="M63" s="683">
        <f t="shared" si="5"/>
        <v>0</v>
      </c>
      <c r="N63" s="683">
        <f>20*3</f>
        <v>60</v>
      </c>
      <c r="Q63" s="683" t="e">
        <f>#REF!+P61+P59</f>
        <v>#REF!</v>
      </c>
    </row>
    <row r="64" spans="1:17">
      <c r="A64" s="391"/>
      <c r="B64" s="670"/>
      <c r="C64" s="392">
        <v>1</v>
      </c>
      <c r="D64" s="392" t="s">
        <v>163</v>
      </c>
      <c r="E64" s="392">
        <f>297+6+15</f>
        <v>318</v>
      </c>
      <c r="F64" s="393"/>
      <c r="G64" s="393"/>
      <c r="H64" s="393"/>
      <c r="I64" s="395">
        <f>ROUNDUP(E64,0)</f>
        <v>318</v>
      </c>
      <c r="J64" s="901">
        <f>'Man hole with 2nd Class  Bricks'!G308</f>
        <v>1838.0661538461541</v>
      </c>
      <c r="K64" s="677">
        <f>ROUND(I64*J64,0)</f>
        <v>584505</v>
      </c>
      <c r="M64" s="683">
        <f t="shared" si="5"/>
        <v>0.91011957109366626</v>
      </c>
      <c r="O64" s="683">
        <f>P59*4</f>
        <v>40</v>
      </c>
    </row>
    <row r="65" spans="1:15" ht="31.5">
      <c r="A65" s="391"/>
      <c r="B65" s="624" t="s">
        <v>1101</v>
      </c>
      <c r="C65" s="392">
        <v>1</v>
      </c>
      <c r="D65" s="392" t="s">
        <v>163</v>
      </c>
      <c r="E65" s="392">
        <f>3*160</f>
        <v>480</v>
      </c>
      <c r="F65" s="393"/>
      <c r="G65" s="393"/>
      <c r="H65" s="393"/>
      <c r="I65" s="395">
        <f>ROUNDUP(E65,0)</f>
        <v>480</v>
      </c>
      <c r="J65" s="901">
        <f>'Man hole with 2nd Class  Bricks'!G308</f>
        <v>1838.0661538461541</v>
      </c>
      <c r="K65" s="677">
        <f>ROUND(I65*J65,0)</f>
        <v>882272</v>
      </c>
    </row>
    <row r="66" spans="1:15">
      <c r="A66" s="391"/>
      <c r="B66" s="670"/>
      <c r="C66" s="392"/>
      <c r="D66" s="392"/>
      <c r="E66" s="392"/>
      <c r="F66" s="393"/>
      <c r="G66" s="393"/>
      <c r="H66" s="393"/>
      <c r="I66" s="395" t="s">
        <v>980</v>
      </c>
      <c r="J66" s="394"/>
      <c r="K66" s="672"/>
      <c r="L66" s="683">
        <v>2165.6766666666667</v>
      </c>
      <c r="M66" s="683">
        <f t="shared" si="5"/>
        <v>0</v>
      </c>
      <c r="O66" s="683">
        <f>P61*4</f>
        <v>60</v>
      </c>
    </row>
    <row r="67" spans="1:15" ht="173.25">
      <c r="A67" s="391">
        <v>11</v>
      </c>
      <c r="B67" s="669" t="str">
        <f>'Man hole with 2nd Class  Bricks'!C329</f>
        <v>Constructon  of  1.50 M   Circular Sewer Man hole of 1.20 mts x 0.56 m of 2.3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67" s="392"/>
      <c r="D67" s="392"/>
      <c r="E67" s="392"/>
      <c r="F67" s="393"/>
      <c r="G67" s="393"/>
      <c r="H67" s="393"/>
      <c r="I67" s="395"/>
      <c r="J67" s="394"/>
      <c r="K67" s="672"/>
    </row>
    <row r="68" spans="1:15">
      <c r="A68" s="391"/>
      <c r="B68" s="624" t="s">
        <v>1095</v>
      </c>
      <c r="C68" s="898">
        <v>1</v>
      </c>
      <c r="D68" s="898" t="s">
        <v>163</v>
      </c>
      <c r="E68" s="898">
        <f>79+97</f>
        <v>176</v>
      </c>
      <c r="F68" s="669"/>
      <c r="G68" s="669"/>
      <c r="H68" s="669"/>
      <c r="I68" s="395">
        <f>E68</f>
        <v>176</v>
      </c>
      <c r="J68" s="901">
        <f>'Man hole with 2nd Class  Bricks'!G368</f>
        <v>40084.119999999995</v>
      </c>
      <c r="K68" s="677">
        <f>ROUND(I68*J68,0)</f>
        <v>7054805</v>
      </c>
    </row>
    <row r="69" spans="1:15">
      <c r="A69" s="391"/>
      <c r="B69" s="624" t="s">
        <v>1096</v>
      </c>
      <c r="C69" s="392">
        <v>1</v>
      </c>
      <c r="D69" s="392" t="s">
        <v>163</v>
      </c>
      <c r="E69" s="392">
        <f>3+26</f>
        <v>29</v>
      </c>
      <c r="F69" s="393"/>
      <c r="G69" s="393"/>
      <c r="H69" s="393"/>
      <c r="I69" s="395">
        <f>E69</f>
        <v>29</v>
      </c>
      <c r="J69" s="901">
        <f>'Man hole with 2nd Class  Bricks'!G347</f>
        <v>37586.99</v>
      </c>
      <c r="K69" s="677">
        <f>ROUND(I69*J69,0)</f>
        <v>1090023</v>
      </c>
      <c r="L69" s="683">
        <v>2911</v>
      </c>
    </row>
    <row r="70" spans="1:15">
      <c r="A70" s="391"/>
      <c r="B70" s="624" t="s">
        <v>1097</v>
      </c>
      <c r="C70" s="392">
        <v>1</v>
      </c>
      <c r="D70" s="392" t="s">
        <v>163</v>
      </c>
      <c r="E70" s="392">
        <f>3+7</f>
        <v>10</v>
      </c>
      <c r="F70" s="393"/>
      <c r="G70" s="393"/>
      <c r="H70" s="393"/>
      <c r="I70" s="395">
        <f>E70</f>
        <v>10</v>
      </c>
      <c r="J70" s="901">
        <f>'Man hole with 2nd Class  Bricks'!G388</f>
        <v>35737.26</v>
      </c>
      <c r="K70" s="677">
        <f>ROUND(I70*J70,0)</f>
        <v>357373</v>
      </c>
    </row>
    <row r="71" spans="1:15">
      <c r="A71" s="391"/>
      <c r="B71" s="624"/>
      <c r="C71" s="392"/>
      <c r="D71" s="392"/>
      <c r="E71" s="392"/>
      <c r="F71" s="393"/>
      <c r="G71" s="393"/>
      <c r="H71" s="393"/>
      <c r="I71" s="395" t="s">
        <v>980</v>
      </c>
      <c r="J71" s="394"/>
      <c r="K71" s="672"/>
    </row>
    <row r="72" spans="1:15">
      <c r="A72" s="391"/>
      <c r="B72" s="624"/>
      <c r="C72" s="392"/>
      <c r="D72" s="392"/>
      <c r="E72" s="392"/>
      <c r="F72" s="393"/>
      <c r="G72" s="393"/>
      <c r="H72" s="393"/>
      <c r="I72" s="395"/>
      <c r="J72" s="394"/>
      <c r="K72" s="672"/>
    </row>
    <row r="73" spans="1:15" ht="157.5">
      <c r="A73" s="391">
        <v>12</v>
      </c>
      <c r="B73" s="669" t="str">
        <f>'Man hole with 2nd Class  Bricks'!C450</f>
        <v xml:space="preserve"> Additional manhole 0.10 M depth constructon  of 1.5 circular sewer man hole of 2.3 mts - 3.0mts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73" s="392"/>
      <c r="D73" s="392"/>
      <c r="E73" s="392"/>
      <c r="F73" s="393"/>
      <c r="G73" s="393"/>
      <c r="H73" s="393"/>
      <c r="I73" s="395"/>
      <c r="J73" s="394"/>
      <c r="K73" s="672"/>
    </row>
    <row r="74" spans="1:15">
      <c r="A74" s="391"/>
      <c r="B74" s="624"/>
      <c r="C74" s="392">
        <v>1</v>
      </c>
      <c r="D74" s="392" t="s">
        <v>163</v>
      </c>
      <c r="E74" s="392">
        <f>214+11+13</f>
        <v>238</v>
      </c>
      <c r="F74" s="393"/>
      <c r="G74" s="393"/>
      <c r="H74" s="393"/>
      <c r="I74" s="395">
        <f>E74</f>
        <v>238</v>
      </c>
      <c r="J74" s="901">
        <f>'Man hole with 2nd Class  Bricks'!G457</f>
        <v>1957.2</v>
      </c>
      <c r="K74" s="677">
        <f>ROUND(I74*J74,0)</f>
        <v>465814</v>
      </c>
    </row>
    <row r="75" spans="1:15">
      <c r="A75" s="391"/>
      <c r="B75" s="624"/>
      <c r="C75" s="392"/>
      <c r="D75" s="392"/>
      <c r="E75" s="392"/>
      <c r="F75" s="393"/>
      <c r="G75" s="393"/>
      <c r="H75" s="393"/>
      <c r="I75" s="395" t="s">
        <v>10</v>
      </c>
      <c r="J75" s="394"/>
      <c r="K75" s="672"/>
    </row>
    <row r="76" spans="1:15" ht="157.5">
      <c r="A76" s="391">
        <v>13</v>
      </c>
      <c r="B76" s="669" t="str">
        <f>'Man hole with 2nd Class  Bricks'!C459</f>
        <v xml:space="preserve"> Additional manhole 0.10 M depth constructon  of 1.5 circular sewer man hole of 3.0 mts - 5.0mts depth with   2nd Class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76" s="392"/>
      <c r="D76" s="392"/>
      <c r="E76" s="392"/>
      <c r="F76" s="393"/>
      <c r="G76" s="393"/>
      <c r="H76" s="393"/>
      <c r="I76" s="395"/>
      <c r="J76" s="394"/>
      <c r="K76" s="672"/>
    </row>
    <row r="77" spans="1:15">
      <c r="A77" s="391"/>
      <c r="B77" s="624"/>
      <c r="C77" s="392">
        <v>1</v>
      </c>
      <c r="D77" s="392" t="s">
        <v>163</v>
      </c>
      <c r="E77" s="392">
        <f>1684+994+137</f>
        <v>2815</v>
      </c>
      <c r="F77" s="393"/>
      <c r="G77" s="393"/>
      <c r="H77" s="393"/>
      <c r="I77" s="395">
        <f>E77</f>
        <v>2815</v>
      </c>
      <c r="J77" s="901">
        <f>'Man hole with 2nd Class  Bricks'!G466</f>
        <v>2595.27</v>
      </c>
      <c r="K77" s="677">
        <f>ROUND(I77*J77,0)</f>
        <v>7305685</v>
      </c>
    </row>
    <row r="78" spans="1:15">
      <c r="A78" s="391"/>
      <c r="B78" s="624"/>
      <c r="C78" s="392"/>
      <c r="D78" s="392"/>
      <c r="E78" s="392"/>
      <c r="F78" s="393"/>
      <c r="G78" s="393"/>
      <c r="H78" s="393"/>
      <c r="I78" s="395" t="s">
        <v>10</v>
      </c>
      <c r="J78" s="394"/>
      <c r="K78" s="672"/>
    </row>
    <row r="79" spans="1:15" ht="18.75" customHeight="1">
      <c r="A79" s="391"/>
      <c r="B79" s="624"/>
      <c r="C79" s="392"/>
      <c r="D79" s="392"/>
      <c r="E79" s="392"/>
      <c r="F79" s="393"/>
      <c r="G79" s="393"/>
      <c r="H79" s="393"/>
      <c r="I79" s="395"/>
      <c r="J79" s="394"/>
      <c r="K79" s="672"/>
    </row>
    <row r="80" spans="1:15" ht="18.75" customHeight="1">
      <c r="A80" s="391"/>
      <c r="B80" s="670"/>
      <c r="C80" s="392"/>
      <c r="D80" s="392"/>
      <c r="E80" s="392"/>
      <c r="F80" s="393"/>
      <c r="G80" s="393"/>
      <c r="H80" s="393"/>
      <c r="I80" s="395"/>
      <c r="J80" s="394"/>
      <c r="K80" s="672"/>
    </row>
    <row r="81" spans="1:15" ht="173.25" customHeight="1">
      <c r="A81" s="391"/>
      <c r="B81" s="669" t="str">
        <f>'Man hole with 2nd Class  Bricks'!C390</f>
        <v>Constructon  of  1.50 M   Circular Sewer Man hole of 1.20 mts x 0.56 m of 3.0 M depths  with  2nd Class   bricks in cm 1:6 prop and  corbelling too including cc bed ( 1:4:8 ) prop using 40 mm gauge HG  Metal 0.10 mt thick and CC (1:2:4) Prop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81" s="392"/>
      <c r="D81" s="392"/>
      <c r="E81" s="392"/>
      <c r="F81" s="393"/>
      <c r="G81" s="393"/>
      <c r="H81" s="393"/>
      <c r="I81" s="395"/>
      <c r="J81" s="394"/>
      <c r="K81" s="672"/>
    </row>
    <row r="82" spans="1:15" ht="18.75" customHeight="1">
      <c r="A82" s="391"/>
      <c r="B82" s="624" t="s">
        <v>1098</v>
      </c>
      <c r="C82" s="898">
        <v>1</v>
      </c>
      <c r="D82" s="898" t="s">
        <v>163</v>
      </c>
      <c r="E82" s="898">
        <v>97</v>
      </c>
      <c r="F82" s="669"/>
      <c r="G82" s="669"/>
      <c r="H82" s="669"/>
      <c r="I82" s="395">
        <f>E82</f>
        <v>97</v>
      </c>
      <c r="J82" s="394"/>
      <c r="K82" s="672"/>
    </row>
    <row r="83" spans="1:15" ht="18.75" customHeight="1">
      <c r="A83" s="391"/>
      <c r="B83" s="624" t="s">
        <v>1099</v>
      </c>
      <c r="C83" s="392">
        <v>1</v>
      </c>
      <c r="D83" s="392" t="s">
        <v>163</v>
      </c>
      <c r="E83" s="392">
        <v>26</v>
      </c>
      <c r="F83" s="393"/>
      <c r="G83" s="393"/>
      <c r="H83" s="393"/>
      <c r="I83" s="395">
        <f>E83</f>
        <v>26</v>
      </c>
      <c r="J83" s="394"/>
      <c r="K83" s="672"/>
    </row>
    <row r="84" spans="1:15" ht="18.75" customHeight="1">
      <c r="A84" s="391"/>
      <c r="B84" s="624" t="s">
        <v>1100</v>
      </c>
      <c r="C84" s="392">
        <v>1</v>
      </c>
      <c r="D84" s="392" t="s">
        <v>163</v>
      </c>
      <c r="E84" s="392">
        <v>7</v>
      </c>
      <c r="F84" s="393"/>
      <c r="G84" s="393"/>
      <c r="H84" s="393"/>
      <c r="I84" s="395">
        <f>E84</f>
        <v>7</v>
      </c>
      <c r="J84" s="394"/>
      <c r="K84" s="672"/>
    </row>
    <row r="85" spans="1:15">
      <c r="A85" s="391"/>
      <c r="B85" s="670"/>
      <c r="C85" s="392"/>
      <c r="D85" s="392"/>
      <c r="E85" s="392"/>
      <c r="F85" s="393"/>
      <c r="G85" s="393"/>
      <c r="H85" s="393"/>
      <c r="I85" s="395" t="s">
        <v>980</v>
      </c>
      <c r="J85" s="394"/>
      <c r="K85" s="672"/>
    </row>
    <row r="86" spans="1:15">
      <c r="A86" s="391"/>
      <c r="B86" s="670"/>
      <c r="C86" s="392"/>
      <c r="D86" s="392"/>
      <c r="E86" s="392"/>
      <c r="F86" s="393"/>
      <c r="G86" s="393"/>
      <c r="H86" s="393"/>
      <c r="I86" s="395"/>
      <c r="J86" s="394"/>
      <c r="K86" s="672"/>
    </row>
    <row r="87" spans="1:15" ht="78.75">
      <c r="A87" s="624">
        <v>14</v>
      </c>
      <c r="B87" s="669" t="s">
        <v>963</v>
      </c>
      <c r="C87" s="669"/>
      <c r="D87" s="669"/>
      <c r="E87" s="669"/>
      <c r="F87" s="669"/>
      <c r="G87" s="669"/>
      <c r="H87" s="669"/>
      <c r="I87" s="669"/>
      <c r="J87" s="669"/>
      <c r="K87" s="669"/>
      <c r="M87" s="683">
        <f t="shared" si="5"/>
        <v>0</v>
      </c>
      <c r="O87" s="683" t="e">
        <f>#REF!*4</f>
        <v>#REF!</v>
      </c>
    </row>
    <row r="88" spans="1:15" s="685" customFormat="1">
      <c r="A88" s="391"/>
      <c r="B88" s="709" t="s">
        <v>724</v>
      </c>
      <c r="C88" s="392">
        <v>1</v>
      </c>
      <c r="D88" s="392" t="s">
        <v>163</v>
      </c>
      <c r="E88" s="392">
        <f>E13</f>
        <v>788</v>
      </c>
      <c r="F88" s="393"/>
      <c r="G88" s="393"/>
      <c r="H88" s="393"/>
      <c r="I88" s="395">
        <f>C88*E88</f>
        <v>788</v>
      </c>
      <c r="J88" s="901">
        <f>'Datas P7'!F311</f>
        <v>2716</v>
      </c>
      <c r="K88" s="677">
        <f>ROUND(I88*J88,0)</f>
        <v>2140208</v>
      </c>
      <c r="L88" s="683">
        <f>K88/100000</f>
        <v>21.402080000000002</v>
      </c>
      <c r="M88" s="683">
        <f t="shared" si="5"/>
        <v>3.3324696743590447</v>
      </c>
      <c r="O88" s="725" t="e">
        <f>SUM(O64:O87)</f>
        <v>#REF!</v>
      </c>
    </row>
    <row r="89" spans="1:15" s="685" customFormat="1">
      <c r="A89" s="391"/>
      <c r="B89" s="709" t="s">
        <v>724</v>
      </c>
      <c r="C89" s="392">
        <v>1</v>
      </c>
      <c r="D89" s="392" t="s">
        <v>163</v>
      </c>
      <c r="E89" s="392">
        <f>E14</f>
        <v>160</v>
      </c>
      <c r="F89" s="393"/>
      <c r="G89" s="393"/>
      <c r="H89" s="393"/>
      <c r="I89" s="395">
        <f>C89*E89</f>
        <v>160</v>
      </c>
      <c r="J89" s="901">
        <f>'Datas P7'!F311</f>
        <v>2716</v>
      </c>
      <c r="K89" s="677">
        <f>ROUND(I89*J89,0)</f>
        <v>434560</v>
      </c>
      <c r="L89" s="683"/>
      <c r="M89" s="683"/>
      <c r="O89" s="725"/>
    </row>
    <row r="90" spans="1:15" s="685" customFormat="1">
      <c r="A90" s="391"/>
      <c r="B90" s="709"/>
      <c r="C90" s="392"/>
      <c r="D90" s="392"/>
      <c r="E90" s="392"/>
      <c r="F90" s="393"/>
      <c r="G90" s="393"/>
      <c r="H90" s="393"/>
      <c r="I90" s="395" t="s">
        <v>980</v>
      </c>
      <c r="J90" s="394"/>
      <c r="K90" s="677"/>
      <c r="M90" s="683">
        <f t="shared" si="5"/>
        <v>0</v>
      </c>
      <c r="O90" s="725"/>
    </row>
    <row r="91" spans="1:15" s="686" customFormat="1" ht="24.75" customHeight="1">
      <c r="A91" s="391"/>
      <c r="B91" s="1587" t="s">
        <v>984</v>
      </c>
      <c r="C91" s="1587"/>
      <c r="D91" s="1587"/>
      <c r="E91" s="1587"/>
      <c r="F91" s="1587"/>
      <c r="G91" s="1587"/>
      <c r="H91" s="1587"/>
      <c r="I91" s="1587"/>
      <c r="J91" s="881"/>
      <c r="K91" s="677">
        <f>ROUND(SUM(K6:K89),0)</f>
        <v>64222880</v>
      </c>
      <c r="L91" s="690">
        <f>K91*10%</f>
        <v>6422288</v>
      </c>
      <c r="M91" s="683">
        <f t="shared" si="5"/>
        <v>100</v>
      </c>
      <c r="N91" s="806">
        <f>M91-K91</f>
        <v>-64222780</v>
      </c>
    </row>
    <row r="92" spans="1:15" s="686" customFormat="1" ht="24.75" customHeight="1">
      <c r="A92" s="729"/>
      <c r="B92" s="827"/>
      <c r="C92" s="827"/>
      <c r="D92" s="827"/>
      <c r="E92" s="827"/>
      <c r="F92" s="827"/>
      <c r="G92" s="827"/>
      <c r="H92" s="827"/>
      <c r="I92" s="827"/>
      <c r="J92" s="828"/>
      <c r="K92" s="829"/>
      <c r="L92" s="690"/>
      <c r="M92" s="683">
        <f t="shared" si="5"/>
        <v>0</v>
      </c>
      <c r="N92" s="806"/>
    </row>
    <row r="93" spans="1:15" s="686" customFormat="1" ht="24.75" customHeight="1">
      <c r="A93" s="729"/>
      <c r="B93" s="827"/>
      <c r="C93" s="827"/>
      <c r="D93" s="827"/>
      <c r="E93" s="827"/>
      <c r="F93" s="827"/>
      <c r="G93" s="827"/>
      <c r="H93" s="827"/>
      <c r="I93" s="827"/>
      <c r="J93" s="828"/>
      <c r="K93" s="829"/>
      <c r="L93" s="690"/>
      <c r="M93" s="683"/>
      <c r="N93" s="806"/>
    </row>
    <row r="94" spans="1:15" s="686" customFormat="1" ht="24.75" customHeight="1">
      <c r="A94" s="729"/>
      <c r="B94" s="827"/>
      <c r="C94" s="827"/>
      <c r="D94" s="827"/>
      <c r="E94" s="827"/>
      <c r="F94" s="827"/>
      <c r="G94" s="827"/>
      <c r="H94" s="827"/>
      <c r="I94" s="827"/>
      <c r="J94" s="828"/>
      <c r="K94" s="829"/>
      <c r="L94" s="690"/>
      <c r="M94" s="683">
        <f>K94*100/$K$91</f>
        <v>0</v>
      </c>
      <c r="N94" s="806"/>
    </row>
    <row r="95" spans="1:15" s="686" customFormat="1" ht="48.75" customHeight="1">
      <c r="A95" s="729"/>
      <c r="B95" s="827"/>
      <c r="C95" s="827"/>
      <c r="D95" s="827"/>
      <c r="E95" s="827"/>
      <c r="F95" s="827"/>
      <c r="G95" s="827"/>
      <c r="H95" s="827"/>
      <c r="I95" s="827"/>
      <c r="J95" s="828"/>
      <c r="K95" s="829"/>
      <c r="L95" s="690"/>
      <c r="M95" s="683">
        <f>K95*100/$K$91</f>
        <v>0</v>
      </c>
      <c r="N95" s="806"/>
    </row>
    <row r="96" spans="1:15" s="686" customFormat="1" ht="24.75" customHeight="1">
      <c r="A96" s="729"/>
      <c r="B96" s="875" t="s">
        <v>1049</v>
      </c>
      <c r="C96" s="1599" t="s">
        <v>1050</v>
      </c>
      <c r="D96" s="1599"/>
      <c r="E96" s="1599"/>
      <c r="F96" s="827"/>
      <c r="G96" s="827"/>
      <c r="H96" s="827"/>
      <c r="I96" s="1599" t="s">
        <v>1053</v>
      </c>
      <c r="J96" s="1599"/>
      <c r="K96" s="829"/>
      <c r="L96" s="690"/>
      <c r="M96" s="683">
        <f>K96*100/$K$91</f>
        <v>0</v>
      </c>
      <c r="N96" s="806"/>
    </row>
    <row r="97" spans="1:14" s="686" customFormat="1" ht="24.75" customHeight="1">
      <c r="A97" s="823"/>
      <c r="B97" s="830"/>
      <c r="C97" s="824"/>
      <c r="D97" s="824"/>
      <c r="E97" s="824"/>
      <c r="F97" s="824"/>
      <c r="G97" s="824"/>
      <c r="H97" s="824"/>
      <c r="I97" s="824"/>
      <c r="J97" s="825"/>
      <c r="K97" s="826"/>
      <c r="L97" s="690"/>
      <c r="M97" s="806"/>
      <c r="N97" s="806"/>
    </row>
    <row r="98" spans="1:14" s="686" customFormat="1">
      <c r="A98" s="391"/>
      <c r="B98" s="1586" t="s">
        <v>982</v>
      </c>
      <c r="C98" s="1586"/>
      <c r="D98" s="1586"/>
      <c r="E98" s="1586"/>
      <c r="F98" s="1586"/>
      <c r="G98" s="1586"/>
      <c r="H98" s="1586"/>
      <c r="I98" s="1586"/>
      <c r="J98" s="635"/>
      <c r="K98" s="727">
        <f>ROUND(K91*0.12,0)</f>
        <v>7706746</v>
      </c>
    </row>
    <row r="99" spans="1:14" s="686" customFormat="1">
      <c r="A99" s="391"/>
      <c r="B99" s="1586" t="s">
        <v>987</v>
      </c>
      <c r="C99" s="1586"/>
      <c r="D99" s="1586"/>
      <c r="E99" s="1586"/>
      <c r="F99" s="1586"/>
      <c r="G99" s="1586"/>
      <c r="H99" s="1586"/>
      <c r="I99" s="1586"/>
      <c r="J99" s="635"/>
      <c r="K99" s="727">
        <f>ROUND(K91*0.05,0)</f>
        <v>3211144</v>
      </c>
    </row>
    <row r="100" spans="1:14" s="686" customFormat="1">
      <c r="A100" s="391"/>
      <c r="B100" s="1586" t="s">
        <v>143</v>
      </c>
      <c r="C100" s="1586"/>
      <c r="D100" s="1586"/>
      <c r="E100" s="1586"/>
      <c r="F100" s="1586"/>
      <c r="G100" s="1586"/>
      <c r="H100" s="1586"/>
      <c r="I100" s="1586"/>
      <c r="J100" s="635"/>
      <c r="K100" s="727">
        <f>ROUND(K91*0.5%,0)</f>
        <v>321114</v>
      </c>
      <c r="M100" s="806">
        <v>9633514</v>
      </c>
    </row>
    <row r="101" spans="1:14" s="686" customFormat="1">
      <c r="A101" s="391"/>
      <c r="B101" s="1586" t="s">
        <v>617</v>
      </c>
      <c r="C101" s="1586"/>
      <c r="D101" s="1586"/>
      <c r="E101" s="1586"/>
      <c r="F101" s="1586"/>
      <c r="G101" s="1586"/>
      <c r="H101" s="1586"/>
      <c r="I101" s="1586"/>
      <c r="J101" s="635"/>
      <c r="K101" s="727">
        <f>ROUND(K91*0.03,0)</f>
        <v>1926686</v>
      </c>
    </row>
    <row r="102" spans="1:14" s="686" customFormat="1">
      <c r="A102" s="391"/>
      <c r="B102" s="1586" t="s">
        <v>988</v>
      </c>
      <c r="C102" s="1586"/>
      <c r="D102" s="1586"/>
      <c r="E102" s="1586"/>
      <c r="F102" s="1586"/>
      <c r="G102" s="1586"/>
      <c r="H102" s="1586"/>
      <c r="I102" s="1586"/>
      <c r="J102" s="682"/>
      <c r="K102" s="727">
        <f>ROUND(K91*0.05,0)</f>
        <v>3211144</v>
      </c>
    </row>
    <row r="103" spans="1:14" s="686" customFormat="1">
      <c r="A103" s="391"/>
      <c r="B103" s="1586" t="s">
        <v>989</v>
      </c>
      <c r="C103" s="1586"/>
      <c r="D103" s="1586"/>
      <c r="E103" s="1586"/>
      <c r="F103" s="1586"/>
      <c r="G103" s="1586"/>
      <c r="H103" s="1586"/>
      <c r="I103" s="1586"/>
      <c r="J103" s="682"/>
      <c r="K103" s="727">
        <f>K104-SUM(K91:K102)</f>
        <v>-66099714</v>
      </c>
    </row>
    <row r="104" spans="1:14" s="686" customFormat="1">
      <c r="A104" s="391"/>
      <c r="B104" s="1587" t="s">
        <v>983</v>
      </c>
      <c r="C104" s="1587"/>
      <c r="D104" s="1587"/>
      <c r="E104" s="1587"/>
      <c r="F104" s="1587"/>
      <c r="G104" s="1587"/>
      <c r="H104" s="1587"/>
      <c r="I104" s="1587"/>
      <c r="J104" s="682"/>
      <c r="K104" s="677">
        <v>14500000</v>
      </c>
    </row>
    <row r="105" spans="1:14" s="686" customFormat="1">
      <c r="A105" s="687"/>
      <c r="B105" s="688"/>
      <c r="C105" s="688"/>
      <c r="D105" s="688"/>
      <c r="E105" s="688"/>
      <c r="F105" s="688"/>
      <c r="G105" s="688"/>
      <c r="H105" s="688"/>
      <c r="I105" s="689"/>
      <c r="J105" s="690"/>
      <c r="K105" s="691"/>
    </row>
    <row r="106" spans="1:14" s="686" customFormat="1">
      <c r="A106" s="687"/>
      <c r="B106" s="692"/>
      <c r="C106" s="693"/>
      <c r="D106" s="693"/>
      <c r="E106" s="687"/>
      <c r="F106" s="694"/>
      <c r="G106" s="694"/>
      <c r="H106" s="694"/>
      <c r="I106" s="689"/>
      <c r="J106" s="690"/>
      <c r="K106" s="695"/>
    </row>
    <row r="107" spans="1:14">
      <c r="A107" s="687"/>
    </row>
    <row r="108" spans="1:14">
      <c r="A108" s="687"/>
    </row>
    <row r="109" spans="1:14">
      <c r="A109" s="687"/>
    </row>
    <row r="110" spans="1:14">
      <c r="A110" s="687"/>
    </row>
  </sheetData>
  <autoFilter ref="A1:A110"/>
  <mergeCells count="21">
    <mergeCell ref="B91:I91"/>
    <mergeCell ref="B98:I98"/>
    <mergeCell ref="B100:I100"/>
    <mergeCell ref="K3:K4"/>
    <mergeCell ref="A1:K1"/>
    <mergeCell ref="J3:J4"/>
    <mergeCell ref="A2:K2"/>
    <mergeCell ref="B16:H16"/>
    <mergeCell ref="C5:E5"/>
    <mergeCell ref="A3:A4"/>
    <mergeCell ref="B3:B4"/>
    <mergeCell ref="C3:E4"/>
    <mergeCell ref="I3:I4"/>
    <mergeCell ref="F3:H3"/>
    <mergeCell ref="C96:E96"/>
    <mergeCell ref="I96:J96"/>
    <mergeCell ref="B101:I101"/>
    <mergeCell ref="B102:I102"/>
    <mergeCell ref="B103:I103"/>
    <mergeCell ref="B104:I104"/>
    <mergeCell ref="B99:I99"/>
  </mergeCells>
  <phoneticPr fontId="75" type="noConversion"/>
  <printOptions horizontalCentered="1" gridLines="1"/>
  <pageMargins left="0.55118110236220474" right="0.55118110236220474" top="0.88" bottom="1.01" header="0.51181102362204722" footer="0.76"/>
  <pageSetup paperSize="5" scale="68" orientation="portrait" r:id="rId1"/>
  <headerFooter alignWithMargins="0">
    <oddFooter>&amp;CPage &amp;P</oddFooter>
  </headerFooter>
</worksheet>
</file>

<file path=xl/worksheets/sheet16.xml><?xml version="1.0" encoding="utf-8"?>
<worksheet xmlns="http://schemas.openxmlformats.org/spreadsheetml/2006/main" xmlns:r="http://schemas.openxmlformats.org/officeDocument/2006/relationships">
  <sheetPr>
    <pageSetUpPr fitToPage="1"/>
  </sheetPr>
  <dimension ref="A1:BE487"/>
  <sheetViews>
    <sheetView view="pageBreakPreview" topLeftCell="A238" zoomScaleSheetLayoutView="100" workbookViewId="0">
      <selection activeCell="A2" sqref="A2:Q2"/>
    </sheetView>
  </sheetViews>
  <sheetFormatPr defaultColWidth="13.85546875" defaultRowHeight="12.75"/>
  <cols>
    <col min="1" max="1" width="12.85546875" style="208" customWidth="1"/>
    <col min="2" max="2" width="5.28515625" style="705" customWidth="1"/>
    <col min="3" max="3" width="42.5703125" style="211" customWidth="1"/>
    <col min="4" max="4" width="8" style="207" bestFit="1" customWidth="1"/>
    <col min="5" max="5" width="10.5703125" style="138" customWidth="1"/>
    <col min="6" max="6" width="9.140625" style="122" customWidth="1"/>
    <col min="7" max="7" width="11.7109375" style="122" customWidth="1"/>
    <col min="8" max="8" width="5.7109375" style="141" customWidth="1"/>
    <col min="9" max="9" width="8.42578125" style="141" customWidth="1"/>
    <col min="10" max="13" width="5.7109375" style="141" customWidth="1"/>
    <col min="14" max="14" width="6.28515625" style="141" customWidth="1"/>
    <col min="15" max="15" width="7.7109375" style="141" customWidth="1"/>
    <col min="16" max="16" width="8" style="141" customWidth="1"/>
    <col min="17" max="17" width="9" style="141" customWidth="1"/>
    <col min="18" max="21" width="6" style="141" bestFit="1" customWidth="1"/>
    <col min="22" max="22" width="6" style="141" customWidth="1"/>
    <col min="23" max="23" width="8" style="141" customWidth="1"/>
    <col min="24" max="34" width="6" style="141" customWidth="1"/>
    <col min="35" max="16384" width="13.85546875" style="141"/>
  </cols>
  <sheetData>
    <row r="1" spans="1:34" ht="20.100000000000001" customHeight="1">
      <c r="A1" s="1611" t="s">
        <v>1270</v>
      </c>
      <c r="B1" s="1611"/>
      <c r="C1" s="1611"/>
      <c r="D1" s="1611"/>
      <c r="E1" s="1611"/>
      <c r="F1" s="1611"/>
      <c r="G1" s="1611"/>
      <c r="H1" s="1611"/>
      <c r="I1" s="1611"/>
      <c r="J1" s="1611"/>
      <c r="K1" s="1611"/>
      <c r="L1" s="1611"/>
      <c r="M1" s="1611"/>
      <c r="N1" s="1611"/>
      <c r="O1" s="1611"/>
      <c r="P1" s="1611"/>
      <c r="Q1" s="1611"/>
      <c r="R1" s="1611"/>
      <c r="S1" s="1611"/>
      <c r="T1" s="1611"/>
      <c r="U1" s="1611"/>
      <c r="V1" s="965"/>
      <c r="W1" s="965"/>
      <c r="X1" s="965"/>
      <c r="Y1" s="965"/>
      <c r="Z1" s="965"/>
      <c r="AA1" s="965"/>
      <c r="AB1" s="965"/>
      <c r="AC1" s="965"/>
      <c r="AD1" s="965"/>
      <c r="AE1" s="965"/>
      <c r="AF1" s="965"/>
      <c r="AG1" s="965"/>
      <c r="AH1" s="965"/>
    </row>
    <row r="2" spans="1:34" ht="46.5" customHeight="1">
      <c r="A2" s="1609" t="str">
        <f>'Final Estimate'!A2:K2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B2" s="1610"/>
      <c r="C2" s="1610"/>
      <c r="D2" s="1610"/>
      <c r="E2" s="1610"/>
      <c r="F2" s="1610"/>
      <c r="G2" s="1610"/>
      <c r="H2" s="1610"/>
      <c r="I2" s="1610"/>
      <c r="J2" s="1610"/>
      <c r="K2" s="1610"/>
      <c r="L2" s="1610"/>
      <c r="M2" s="1610"/>
      <c r="N2" s="1610"/>
      <c r="O2" s="1610"/>
      <c r="P2" s="1610"/>
      <c r="Q2" s="1610"/>
      <c r="R2" s="1247"/>
      <c r="S2" s="1247"/>
      <c r="T2" s="1247"/>
      <c r="U2" s="1248"/>
    </row>
    <row r="3" spans="1:34">
      <c r="A3" s="1612" t="s">
        <v>1117</v>
      </c>
      <c r="B3" s="1612"/>
      <c r="C3" s="1612"/>
      <c r="D3" s="1612"/>
      <c r="E3" s="1612"/>
      <c r="F3" s="1612"/>
      <c r="G3" s="1612"/>
      <c r="H3" s="389"/>
      <c r="I3" s="389"/>
      <c r="J3" s="389"/>
      <c r="K3" s="389"/>
      <c r="L3" s="389"/>
      <c r="M3" s="389"/>
      <c r="N3" s="389"/>
      <c r="O3" s="389"/>
      <c r="P3" s="389"/>
      <c r="Q3" s="389"/>
      <c r="R3" s="540"/>
      <c r="S3" s="540"/>
      <c r="T3" s="540"/>
      <c r="U3" s="540"/>
    </row>
    <row r="4" spans="1:34" ht="166.5" hidden="1" customHeight="1">
      <c r="A4" s="396"/>
      <c r="B4" s="605">
        <v>1</v>
      </c>
      <c r="C4" s="474" t="s">
        <v>1231</v>
      </c>
      <c r="D4" s="338"/>
      <c r="E4" s="399"/>
      <c r="F4" s="472"/>
      <c r="G4" s="414"/>
      <c r="H4" s="1600" t="s">
        <v>446</v>
      </c>
      <c r="I4" s="1601"/>
      <c r="J4" s="1600" t="s">
        <v>440</v>
      </c>
      <c r="K4" s="1601"/>
      <c r="L4" s="1602" t="s">
        <v>439</v>
      </c>
      <c r="M4" s="1603"/>
      <c r="N4" s="1600" t="s">
        <v>717</v>
      </c>
      <c r="O4" s="1601"/>
      <c r="P4" s="1600" t="s">
        <v>718</v>
      </c>
      <c r="Q4" s="1601"/>
      <c r="R4" s="540"/>
      <c r="S4" s="540"/>
      <c r="T4" s="540"/>
      <c r="U4" s="540"/>
    </row>
    <row r="5" spans="1:34" ht="27.75" hidden="1" customHeight="1">
      <c r="A5" s="396"/>
      <c r="B5" s="396"/>
      <c r="C5" s="474" t="s">
        <v>203</v>
      </c>
      <c r="D5" s="338" t="s">
        <v>109</v>
      </c>
      <c r="E5" s="399">
        <v>0.14299999999999999</v>
      </c>
      <c r="F5" s="472">
        <f>'Datas P7'!G226</f>
        <v>5383.2900000000009</v>
      </c>
      <c r="G5" s="477">
        <f>+ROUND(E5*F5,2)</f>
        <v>769.81</v>
      </c>
      <c r="H5" s="389"/>
      <c r="I5" s="389">
        <v>0.14000000000000001</v>
      </c>
      <c r="J5" s="389"/>
      <c r="K5" s="389">
        <v>0.14000000000000001</v>
      </c>
      <c r="L5" s="389"/>
      <c r="M5" s="389">
        <v>0.14000000000000001</v>
      </c>
      <c r="N5" s="389"/>
      <c r="O5" s="389">
        <f>M5</f>
        <v>0.14000000000000001</v>
      </c>
      <c r="P5" s="389"/>
      <c r="Q5" s="389">
        <f>O5</f>
        <v>0.14000000000000001</v>
      </c>
      <c r="R5" s="540"/>
      <c r="S5" s="540"/>
      <c r="T5" s="540"/>
      <c r="U5" s="540"/>
    </row>
    <row r="6" spans="1:34" ht="63.75" hidden="1">
      <c r="A6" s="396"/>
      <c r="B6" s="473"/>
      <c r="C6" s="478" t="s">
        <v>1232</v>
      </c>
      <c r="D6" s="338" t="s">
        <v>109</v>
      </c>
      <c r="E6" s="399">
        <f>O6</f>
        <v>0.13</v>
      </c>
      <c r="F6" s="472">
        <f>'Datas P7'!G273</f>
        <v>9540.84</v>
      </c>
      <c r="G6" s="477">
        <f>+ROUND(E6*F6,2)</f>
        <v>1240.31</v>
      </c>
      <c r="H6" s="479">
        <f>ROUND(PI()/4*0.23*0.23*0.23*2,3)</f>
        <v>1.9E-2</v>
      </c>
      <c r="I6" s="479">
        <f>0.213-H6</f>
        <v>0.19400000000000001</v>
      </c>
      <c r="J6" s="479">
        <f>ROUND(PI()/4*0.28*0.28*0.23*2,3)</f>
        <v>2.8000000000000001E-2</v>
      </c>
      <c r="K6" s="479">
        <f>0.213-J6</f>
        <v>0.185</v>
      </c>
      <c r="L6" s="479">
        <f>ROUND(PI()/4*0.33*0.33*0.23*2,3)</f>
        <v>3.9E-2</v>
      </c>
      <c r="M6" s="479">
        <f>0.213-L6</f>
        <v>0.17399999999999999</v>
      </c>
      <c r="N6" s="479">
        <f>ROUND(PI()/4*0.48*0.48*0.23*2,3)</f>
        <v>8.3000000000000004E-2</v>
      </c>
      <c r="O6" s="479">
        <f>0.213-N6</f>
        <v>0.13</v>
      </c>
      <c r="P6" s="479">
        <f>ROUND(PI()/4*0.64*0.64*0.23*2,3)</f>
        <v>0.14799999999999999</v>
      </c>
      <c r="Q6" s="479">
        <f>0.213-P6</f>
        <v>6.5000000000000002E-2</v>
      </c>
      <c r="R6" s="540"/>
      <c r="S6" s="540"/>
      <c r="T6" s="540"/>
      <c r="U6" s="540"/>
    </row>
    <row r="7" spans="1:34" ht="38.25" hidden="1">
      <c r="A7" s="396"/>
      <c r="B7" s="396"/>
      <c r="C7" s="478" t="s">
        <v>1233</v>
      </c>
      <c r="D7" s="338" t="s">
        <v>109</v>
      </c>
      <c r="E7" s="399">
        <f>O7</f>
        <v>0.28999999999999998</v>
      </c>
      <c r="F7" s="472">
        <f>'Datas P7'!G273</f>
        <v>9540.84</v>
      </c>
      <c r="G7" s="477">
        <f>+ROUND(E7*F7,2)</f>
        <v>2766.84</v>
      </c>
      <c r="H7" s="389"/>
      <c r="I7" s="389">
        <v>0.28999999999999998</v>
      </c>
      <c r="J7" s="389"/>
      <c r="K7" s="389">
        <v>0.28999999999999998</v>
      </c>
      <c r="L7" s="389"/>
      <c r="M7" s="389">
        <v>0.28999999999999998</v>
      </c>
      <c r="N7" s="389"/>
      <c r="O7" s="389">
        <f>M7</f>
        <v>0.28999999999999998</v>
      </c>
      <c r="P7" s="389"/>
      <c r="Q7" s="389">
        <f>O7</f>
        <v>0.28999999999999998</v>
      </c>
      <c r="R7" s="540"/>
      <c r="S7" s="540"/>
      <c r="T7" s="540"/>
      <c r="U7" s="540"/>
    </row>
    <row r="8" spans="1:34" ht="51" hidden="1">
      <c r="A8" s="396"/>
      <c r="B8" s="396"/>
      <c r="C8" s="478" t="str">
        <f>CONCATENATE("External Plastering in CM(1:4) of 12 mm thick vertical portion PI*1.21*0.30 =1.139 Carbelling Portion PI(1.21+0.96)/2*.45 =1.53 ","Dedcut Pipe Portion 2*PI()/4",Lead!I37*Lead!I37)</f>
        <v>External Plastering in CM(1:4) of 12 mm thick vertical portion PI*1.21*0.30 =1.139 Carbelling Portion PI(1.21+0.96)/2*.45 =1.53 Dedcut Pipe Portion 2*PI()/40</v>
      </c>
      <c r="D8" s="338" t="s">
        <v>326</v>
      </c>
      <c r="E8" s="399">
        <f>O8</f>
        <v>2.3069999999999999</v>
      </c>
      <c r="F8" s="472">
        <f>'Datas P7'!G298</f>
        <v>170.45499999999998</v>
      </c>
      <c r="G8" s="477">
        <f>+ROUND(E8*F8/10,2)</f>
        <v>39.32</v>
      </c>
      <c r="H8" s="389">
        <f>ROUND(PI()/4*0.23*0.23*2,2)</f>
        <v>0.08</v>
      </c>
      <c r="I8" s="389">
        <f>1.139+1.53-0.12</f>
        <v>2.5489999999999999</v>
      </c>
      <c r="J8" s="389">
        <f>ROUND(PI()/4*0.28*0.28*2,2)</f>
        <v>0.12</v>
      </c>
      <c r="K8" s="389">
        <f>1.139+1.53-0.12</f>
        <v>2.5489999999999999</v>
      </c>
      <c r="L8" s="389">
        <f>ROUND(PI()/4*0.33^2*2,2)</f>
        <v>0.17</v>
      </c>
      <c r="M8" s="389">
        <f>1.139+1.53-0.17</f>
        <v>2.4990000000000001</v>
      </c>
      <c r="N8" s="479">
        <f>ROUND(PI()/4*0.48*0.48*2,3)</f>
        <v>0.36199999999999999</v>
      </c>
      <c r="O8" s="479">
        <f>1.139+1.53-N8</f>
        <v>2.3069999999999999</v>
      </c>
      <c r="P8" s="479">
        <f>ROUND(PI()/4*0.64*0.64*2,3)</f>
        <v>0.64300000000000002</v>
      </c>
      <c r="Q8" s="479">
        <f>1.19+1.53-P8</f>
        <v>2.077</v>
      </c>
      <c r="R8" s="540"/>
      <c r="S8" s="540"/>
      <c r="T8" s="540"/>
      <c r="U8" s="540"/>
    </row>
    <row r="9" spans="1:34" ht="51" hidden="1">
      <c r="A9" s="396"/>
      <c r="B9" s="396"/>
      <c r="C9" s="478" t="s">
        <v>331</v>
      </c>
      <c r="D9" s="338" t="s">
        <v>326</v>
      </c>
      <c r="E9" s="399">
        <f>O9</f>
        <v>1.4089999999999998</v>
      </c>
      <c r="F9" s="472">
        <f>'Datas P7'!G308</f>
        <v>2594.8599999999997</v>
      </c>
      <c r="G9" s="477">
        <f>+ROUND(E9*F9/10,2)</f>
        <v>365.62</v>
      </c>
      <c r="H9" s="389">
        <f>ROUND(PI()/4*0.2*0.2*2,3)</f>
        <v>6.3E-2</v>
      </c>
      <c r="I9" s="389">
        <f>0.707+1.02-0.098</f>
        <v>1.6289999999999998</v>
      </c>
      <c r="J9" s="389">
        <f>ROUND(PI()/4*0.25*0.25*2,3)</f>
        <v>9.8000000000000004E-2</v>
      </c>
      <c r="K9" s="389">
        <f>0.707+1.02-0.098</f>
        <v>1.6289999999999998</v>
      </c>
      <c r="L9" s="389">
        <f>ROUND(PI()/4*0.3^2,3)</f>
        <v>7.0999999999999994E-2</v>
      </c>
      <c r="M9" s="389">
        <f>0.707+1.02-0.071</f>
        <v>1.6559999999999999</v>
      </c>
      <c r="N9" s="389">
        <f>ROUND(PI()/4*0.45*0.45*2,3)</f>
        <v>0.318</v>
      </c>
      <c r="O9" s="389">
        <f>0.707+1.02-N9</f>
        <v>1.4089999999999998</v>
      </c>
      <c r="P9" s="389">
        <f>ROUND(PI()/4*0.6*0.6*2,3)</f>
        <v>0.56499999999999995</v>
      </c>
      <c r="Q9" s="389">
        <f>0.707+1.02-P9</f>
        <v>1.1619999999999999</v>
      </c>
      <c r="R9" s="540"/>
      <c r="S9" s="540"/>
      <c r="T9" s="540"/>
      <c r="U9" s="540"/>
    </row>
    <row r="10" spans="1:34" ht="51" hidden="1">
      <c r="A10" s="396"/>
      <c r="B10" s="396"/>
      <c r="C10" s="473" t="s">
        <v>332</v>
      </c>
      <c r="D10" s="338" t="s">
        <v>109</v>
      </c>
      <c r="E10" s="399">
        <f>O10</f>
        <v>6.1000000000000013E-2</v>
      </c>
      <c r="F10" s="472">
        <f>'Datas P7'!G258</f>
        <v>6018.18</v>
      </c>
      <c r="G10" s="477">
        <f>+ROUND(E10*F10,2)</f>
        <v>367.11</v>
      </c>
      <c r="H10" s="389">
        <f>ROUND(0.75*0.25*0.23,3)</f>
        <v>4.2999999999999997E-2</v>
      </c>
      <c r="I10" s="389">
        <f>0.101+0.038-0.043</f>
        <v>9.6000000000000016E-2</v>
      </c>
      <c r="J10" s="389">
        <f>ROUND(0.75*0.25*0.23,3)</f>
        <v>4.2999999999999997E-2</v>
      </c>
      <c r="K10" s="389">
        <f>0.101+0.038-0.043</f>
        <v>9.6000000000000016E-2</v>
      </c>
      <c r="L10" s="389">
        <f>ROUND(0.75*0.3*0.23,3)</f>
        <v>5.1999999999999998E-2</v>
      </c>
      <c r="M10" s="389">
        <f>0.101+0.038-0.052</f>
        <v>8.7000000000000022E-2</v>
      </c>
      <c r="N10" s="389">
        <f>ROUND(0.75*0.45*0.23,3)</f>
        <v>7.8E-2</v>
      </c>
      <c r="O10" s="389">
        <f>0.101+0.038-N10</f>
        <v>6.1000000000000013E-2</v>
      </c>
      <c r="P10" s="389">
        <f>ROUND(0.75*0.6*0.23,3)</f>
        <v>0.104</v>
      </c>
      <c r="Q10" s="389">
        <f>0.101+0.038-P10</f>
        <v>3.5000000000000017E-2</v>
      </c>
      <c r="R10" s="540"/>
      <c r="S10" s="540"/>
      <c r="T10" s="540"/>
      <c r="U10" s="540"/>
    </row>
    <row r="11" spans="1:34" hidden="1">
      <c r="A11" s="396" t="s">
        <v>394</v>
      </c>
      <c r="B11" s="396"/>
      <c r="C11" s="473" t="s">
        <v>395</v>
      </c>
      <c r="D11" s="338" t="s">
        <v>55</v>
      </c>
      <c r="E11" s="399">
        <v>0</v>
      </c>
      <c r="F11" s="472">
        <v>66</v>
      </c>
      <c r="G11" s="477">
        <f>+ROUND(E11*F11,2)</f>
        <v>0</v>
      </c>
      <c r="H11" s="389"/>
      <c r="I11" s="389"/>
      <c r="J11" s="389"/>
      <c r="K11" s="389"/>
      <c r="L11" s="389"/>
      <c r="M11" s="389"/>
      <c r="N11" s="389"/>
      <c r="O11" s="389"/>
      <c r="P11" s="389"/>
      <c r="Q11" s="389"/>
      <c r="R11" s="540"/>
      <c r="S11" s="540"/>
      <c r="T11" s="540"/>
      <c r="U11" s="540"/>
    </row>
    <row r="12" spans="1:34" hidden="1">
      <c r="A12" s="708"/>
      <c r="B12" s="397"/>
      <c r="C12" s="480" t="s">
        <v>106</v>
      </c>
      <c r="D12" s="338" t="s">
        <v>226</v>
      </c>
      <c r="E12" s="399"/>
      <c r="F12" s="472"/>
      <c r="G12" s="414">
        <f>SUM(G5:G11)</f>
        <v>5549.0099999999993</v>
      </c>
      <c r="H12" s="389"/>
      <c r="I12" s="389"/>
      <c r="J12" s="389"/>
      <c r="K12" s="389"/>
      <c r="L12" s="389"/>
      <c r="M12" s="389"/>
      <c r="N12" s="389"/>
      <c r="O12" s="389"/>
      <c r="P12" s="389"/>
      <c r="Q12" s="389"/>
      <c r="R12" s="540"/>
      <c r="S12" s="540"/>
      <c r="T12" s="540"/>
      <c r="U12" s="540"/>
    </row>
    <row r="13" spans="1:34" hidden="1">
      <c r="A13" s="708"/>
      <c r="B13" s="397"/>
      <c r="C13" s="480"/>
      <c r="D13" s="397"/>
      <c r="E13" s="399"/>
      <c r="F13" s="472"/>
      <c r="G13" s="414"/>
      <c r="H13" s="389"/>
      <c r="I13" s="389"/>
      <c r="J13" s="389"/>
      <c r="K13" s="389"/>
      <c r="L13" s="389"/>
      <c r="M13" s="389"/>
      <c r="N13" s="389"/>
      <c r="O13" s="389"/>
      <c r="P13" s="389"/>
      <c r="Q13" s="389"/>
      <c r="R13" s="540"/>
      <c r="S13" s="540"/>
      <c r="T13" s="540"/>
      <c r="U13" s="540"/>
    </row>
    <row r="14" spans="1:34" s="157" customFormat="1" ht="25.5" hidden="1">
      <c r="A14" s="386"/>
      <c r="B14" s="386"/>
      <c r="C14" s="481" t="s">
        <v>719</v>
      </c>
      <c r="D14" s="388"/>
      <c r="E14" s="387">
        <f>G12</f>
        <v>5549.0099999999993</v>
      </c>
      <c r="F14" s="475">
        <f>Lead!Q27</f>
        <v>0.13614999999999999</v>
      </c>
      <c r="G14" s="475">
        <f>ROUND(F14*E14,2)</f>
        <v>755.5</v>
      </c>
      <c r="H14" s="384"/>
      <c r="I14" s="384"/>
      <c r="J14" s="384"/>
      <c r="K14" s="384"/>
      <c r="L14" s="384"/>
      <c r="M14" s="384"/>
      <c r="N14" s="384"/>
      <c r="O14" s="384"/>
      <c r="P14" s="384"/>
      <c r="Q14" s="384"/>
      <c r="R14" s="247"/>
      <c r="S14" s="247"/>
      <c r="T14" s="247"/>
      <c r="U14" s="247"/>
    </row>
    <row r="15" spans="1:34" s="197" customFormat="1" hidden="1">
      <c r="A15" s="386"/>
      <c r="B15" s="386"/>
      <c r="C15" s="481" t="s">
        <v>319</v>
      </c>
      <c r="D15" s="388"/>
      <c r="E15" s="387"/>
      <c r="F15" s="475"/>
      <c r="G15" s="482"/>
      <c r="H15" s="384"/>
      <c r="I15" s="384"/>
      <c r="J15" s="384"/>
      <c r="K15" s="384"/>
      <c r="L15" s="384"/>
      <c r="M15" s="384"/>
      <c r="N15" s="384"/>
      <c r="O15" s="384"/>
      <c r="P15" s="384"/>
      <c r="Q15" s="384"/>
      <c r="R15" s="657"/>
      <c r="S15" s="657"/>
      <c r="T15" s="657"/>
      <c r="U15" s="657"/>
    </row>
    <row r="16" spans="1:34" s="197" customFormat="1" hidden="1">
      <c r="A16" s="386"/>
      <c r="B16" s="386"/>
      <c r="C16" s="481" t="s">
        <v>320</v>
      </c>
      <c r="D16" s="388" t="s">
        <v>109</v>
      </c>
      <c r="E16" s="483">
        <f>(E10+E5)*0.9</f>
        <v>0.18360000000000001</v>
      </c>
      <c r="F16" s="475">
        <v>97.5</v>
      </c>
      <c r="G16" s="475"/>
      <c r="H16" s="384"/>
      <c r="I16" s="384"/>
      <c r="J16" s="384"/>
      <c r="K16" s="384"/>
      <c r="L16" s="384"/>
      <c r="M16" s="384"/>
      <c r="N16" s="384"/>
      <c r="O16" s="384"/>
      <c r="P16" s="384"/>
      <c r="Q16" s="384"/>
      <c r="R16" s="657"/>
      <c r="S16" s="657"/>
      <c r="T16" s="657"/>
      <c r="U16" s="657"/>
    </row>
    <row r="17" spans="1:21" s="197" customFormat="1" hidden="1">
      <c r="A17" s="386"/>
      <c r="B17" s="386"/>
      <c r="C17" s="481" t="s">
        <v>321</v>
      </c>
      <c r="D17" s="388" t="s">
        <v>109</v>
      </c>
      <c r="E17" s="483">
        <f>(E5+E10)*0.45+(E6+E7)*0.1+E8*0.015+E9*0.021</f>
        <v>0.197994</v>
      </c>
      <c r="F17" s="475">
        <v>40</v>
      </c>
      <c r="G17" s="475"/>
      <c r="H17" s="384"/>
      <c r="I17" s="384"/>
      <c r="J17" s="384"/>
      <c r="K17" s="384"/>
      <c r="L17" s="384"/>
      <c r="M17" s="384"/>
      <c r="N17" s="384"/>
      <c r="O17" s="384"/>
      <c r="P17" s="384"/>
      <c r="Q17" s="384"/>
      <c r="R17" s="657"/>
      <c r="S17" s="657"/>
      <c r="T17" s="657"/>
      <c r="U17" s="657"/>
    </row>
    <row r="18" spans="1:21" s="197" customFormat="1" hidden="1">
      <c r="A18" s="386"/>
      <c r="B18" s="386"/>
      <c r="C18" s="481" t="s">
        <v>273</v>
      </c>
      <c r="D18" s="388"/>
      <c r="E18" s="387"/>
      <c r="F18" s="475" t="s">
        <v>154</v>
      </c>
      <c r="G18" s="482">
        <f>SUM(G12:G17)</f>
        <v>6304.5099999999993</v>
      </c>
      <c r="H18" s="384"/>
      <c r="I18" s="384"/>
      <c r="J18" s="384"/>
      <c r="K18" s="384"/>
      <c r="L18" s="384"/>
      <c r="M18" s="384"/>
      <c r="N18" s="384"/>
      <c r="O18" s="384"/>
      <c r="P18" s="384"/>
      <c r="Q18" s="384"/>
      <c r="R18" s="657"/>
      <c r="S18" s="657"/>
      <c r="T18" s="657"/>
      <c r="U18" s="657"/>
    </row>
    <row r="19" spans="1:21" ht="165.75" hidden="1">
      <c r="A19" s="396"/>
      <c r="B19" s="605"/>
      <c r="C19" s="474" t="s">
        <v>323</v>
      </c>
      <c r="D19" s="338"/>
      <c r="E19" s="399"/>
      <c r="F19" s="472"/>
      <c r="G19" s="477"/>
      <c r="H19" s="389"/>
      <c r="I19" s="389"/>
      <c r="J19" s="389"/>
      <c r="K19" s="389"/>
      <c r="L19" s="389"/>
      <c r="M19" s="389"/>
      <c r="N19" s="389"/>
      <c r="O19" s="389"/>
      <c r="P19" s="389"/>
      <c r="Q19" s="389"/>
      <c r="R19" s="540"/>
      <c r="S19" s="540"/>
      <c r="T19" s="540"/>
      <c r="U19" s="540"/>
    </row>
    <row r="20" spans="1:21" ht="25.5" hidden="1">
      <c r="A20" s="396"/>
      <c r="B20" s="389"/>
      <c r="C20" s="474" t="s">
        <v>1234</v>
      </c>
      <c r="D20" s="338" t="s">
        <v>109</v>
      </c>
      <c r="E20" s="399">
        <v>7.0999999999999994E-2</v>
      </c>
      <c r="F20" s="472">
        <f>'Datas P7'!G273</f>
        <v>9540.84</v>
      </c>
      <c r="G20" s="477">
        <f>+ROUND(E20*F20,2)</f>
        <v>677.4</v>
      </c>
      <c r="H20" s="389"/>
      <c r="I20" s="389"/>
      <c r="J20" s="389"/>
      <c r="K20" s="389"/>
      <c r="L20" s="389"/>
      <c r="M20" s="389"/>
      <c r="N20" s="389"/>
      <c r="O20" s="389"/>
      <c r="P20" s="389"/>
      <c r="Q20" s="389"/>
      <c r="R20" s="540"/>
      <c r="S20" s="540"/>
      <c r="T20" s="540"/>
      <c r="U20" s="540"/>
    </row>
    <row r="21" spans="1:21" ht="25.5" hidden="1">
      <c r="A21" s="396"/>
      <c r="B21" s="389"/>
      <c r="C21" s="474" t="s">
        <v>204</v>
      </c>
      <c r="D21" s="338" t="s">
        <v>326</v>
      </c>
      <c r="E21" s="399">
        <v>0.38</v>
      </c>
      <c r="F21" s="472">
        <f>'Datas P7'!G298</f>
        <v>170.45499999999998</v>
      </c>
      <c r="G21" s="477">
        <f>+ROUND(E21*F21/10,2)</f>
        <v>6.48</v>
      </c>
      <c r="H21" s="389"/>
      <c r="I21" s="389"/>
      <c r="J21" s="389"/>
      <c r="K21" s="389"/>
      <c r="L21" s="389"/>
      <c r="M21" s="389"/>
      <c r="N21" s="389"/>
      <c r="O21" s="389"/>
      <c r="P21" s="389"/>
      <c r="Q21" s="389"/>
      <c r="R21" s="540"/>
      <c r="S21" s="540"/>
      <c r="T21" s="540"/>
      <c r="U21" s="540"/>
    </row>
    <row r="22" spans="1:21" ht="25.5" hidden="1">
      <c r="A22" s="396"/>
      <c r="B22" s="389"/>
      <c r="C22" s="474" t="s">
        <v>205</v>
      </c>
      <c r="D22" s="338" t="s">
        <v>326</v>
      </c>
      <c r="E22" s="399">
        <v>0.23599999999999999</v>
      </c>
      <c r="F22" s="472">
        <f>'Datas P7'!G308</f>
        <v>2594.8599999999997</v>
      </c>
      <c r="G22" s="477">
        <f>+ROUND(E22*F22/10,2)</f>
        <v>61.24</v>
      </c>
      <c r="H22" s="389"/>
      <c r="I22" s="389"/>
      <c r="J22" s="389"/>
      <c r="K22" s="389"/>
      <c r="L22" s="389"/>
      <c r="M22" s="389"/>
      <c r="N22" s="389"/>
      <c r="O22" s="389"/>
      <c r="P22" s="389"/>
      <c r="Q22" s="389"/>
      <c r="R22" s="540"/>
      <c r="S22" s="540"/>
      <c r="T22" s="540"/>
      <c r="U22" s="540"/>
    </row>
    <row r="23" spans="1:21" hidden="1">
      <c r="A23" s="396"/>
      <c r="B23" s="389"/>
      <c r="C23" s="474"/>
      <c r="D23" s="338"/>
      <c r="E23" s="399"/>
      <c r="F23" s="472"/>
      <c r="G23" s="477">
        <f>SUM(G20:G22)</f>
        <v>745.12</v>
      </c>
      <c r="H23" s="389"/>
      <c r="I23" s="389"/>
      <c r="J23" s="389"/>
      <c r="K23" s="389"/>
      <c r="L23" s="389"/>
      <c r="M23" s="389"/>
      <c r="N23" s="389"/>
      <c r="O23" s="389"/>
      <c r="P23" s="389"/>
      <c r="Q23" s="389"/>
      <c r="R23" s="540"/>
      <c r="S23" s="540"/>
      <c r="T23" s="540"/>
      <c r="U23" s="540"/>
    </row>
    <row r="24" spans="1:21" hidden="1">
      <c r="A24" s="396"/>
      <c r="B24" s="389"/>
      <c r="C24" s="474"/>
      <c r="D24" s="338"/>
      <c r="E24" s="399"/>
      <c r="F24" s="472"/>
      <c r="G24" s="477"/>
      <c r="H24" s="389"/>
      <c r="I24" s="389"/>
      <c r="J24" s="389"/>
      <c r="K24" s="389"/>
      <c r="L24" s="389"/>
      <c r="M24" s="389"/>
      <c r="N24" s="389"/>
      <c r="O24" s="389"/>
      <c r="P24" s="389"/>
      <c r="Q24" s="389"/>
      <c r="R24" s="540"/>
      <c r="S24" s="540"/>
      <c r="T24" s="540"/>
      <c r="U24" s="540"/>
    </row>
    <row r="25" spans="1:21" s="197" customFormat="1" hidden="1">
      <c r="A25" s="386"/>
      <c r="B25" s="386"/>
      <c r="C25" s="481" t="s">
        <v>319</v>
      </c>
      <c r="D25" s="388"/>
      <c r="E25" s="387"/>
      <c r="F25" s="475"/>
      <c r="G25" s="482"/>
      <c r="H25" s="384"/>
      <c r="I25" s="384"/>
      <c r="J25" s="384"/>
      <c r="K25" s="384"/>
      <c r="L25" s="384"/>
      <c r="M25" s="384"/>
      <c r="N25" s="384"/>
      <c r="O25" s="384"/>
      <c r="P25" s="384"/>
      <c r="Q25" s="384"/>
      <c r="R25" s="657"/>
      <c r="S25" s="657"/>
      <c r="T25" s="657"/>
      <c r="U25" s="657"/>
    </row>
    <row r="26" spans="1:21" s="197" customFormat="1" hidden="1">
      <c r="A26" s="386"/>
      <c r="B26" s="386"/>
      <c r="C26" s="481" t="s">
        <v>321</v>
      </c>
      <c r="D26" s="388"/>
      <c r="E26" s="483">
        <f>(E21*0.15+E22*0.21)/10+E20*0.1</f>
        <v>1.7755999999999997E-2</v>
      </c>
      <c r="F26" s="475">
        <f>F17</f>
        <v>40</v>
      </c>
      <c r="G26" s="475"/>
      <c r="H26" s="384"/>
      <c r="I26" s="384"/>
      <c r="J26" s="384"/>
      <c r="K26" s="384"/>
      <c r="L26" s="384"/>
      <c r="M26" s="384"/>
      <c r="N26" s="384"/>
      <c r="O26" s="384"/>
      <c r="P26" s="384"/>
      <c r="Q26" s="384"/>
      <c r="R26" s="657"/>
      <c r="S26" s="657"/>
      <c r="T26" s="657"/>
      <c r="U26" s="657"/>
    </row>
    <row r="27" spans="1:21" hidden="1">
      <c r="A27" s="396"/>
      <c r="B27" s="389"/>
      <c r="C27" s="480" t="s">
        <v>228</v>
      </c>
      <c r="D27" s="338"/>
      <c r="E27" s="399"/>
      <c r="F27" s="472"/>
      <c r="G27" s="414">
        <f>SUM(G23:G26)</f>
        <v>745.12</v>
      </c>
      <c r="H27" s="389"/>
      <c r="I27" s="389"/>
      <c r="J27" s="389"/>
      <c r="K27" s="389"/>
      <c r="L27" s="389"/>
      <c r="M27" s="389"/>
      <c r="N27" s="389"/>
      <c r="O27" s="389"/>
      <c r="P27" s="389"/>
      <c r="Q27" s="389"/>
      <c r="R27" s="540"/>
      <c r="S27" s="540"/>
      <c r="T27" s="540"/>
      <c r="U27" s="540"/>
    </row>
    <row r="28" spans="1:21" hidden="1">
      <c r="A28" s="396"/>
      <c r="B28" s="389"/>
      <c r="C28" s="480"/>
      <c r="D28" s="338"/>
      <c r="E28" s="399"/>
      <c r="F28" s="472"/>
      <c r="G28" s="414"/>
      <c r="H28" s="389"/>
      <c r="I28" s="389"/>
      <c r="J28" s="389"/>
      <c r="K28" s="389"/>
      <c r="L28" s="389"/>
      <c r="M28" s="389"/>
      <c r="N28" s="389"/>
      <c r="O28" s="389"/>
      <c r="P28" s="389"/>
      <c r="Q28" s="389"/>
      <c r="R28" s="540"/>
      <c r="S28" s="540"/>
      <c r="T28" s="540"/>
      <c r="U28" s="540"/>
    </row>
    <row r="29" spans="1:21" s="760" customFormat="1" ht="38.25" hidden="1">
      <c r="A29" s="708"/>
      <c r="B29" s="484" t="s">
        <v>443</v>
      </c>
      <c r="C29" s="708" t="s">
        <v>456</v>
      </c>
      <c r="D29" s="382" t="s">
        <v>310</v>
      </c>
      <c r="E29" s="485" t="s">
        <v>442</v>
      </c>
      <c r="F29" s="486" t="s">
        <v>444</v>
      </c>
      <c r="G29" s="414" t="s">
        <v>511</v>
      </c>
      <c r="H29" s="414"/>
      <c r="I29" s="414"/>
      <c r="J29" s="487"/>
      <c r="K29" s="487"/>
      <c r="L29" s="487"/>
      <c r="M29" s="487"/>
      <c r="N29" s="487"/>
      <c r="O29" s="487"/>
      <c r="P29" s="487"/>
      <c r="Q29" s="487"/>
      <c r="R29" s="658"/>
      <c r="S29" s="658"/>
      <c r="T29" s="658"/>
      <c r="U29" s="658"/>
    </row>
    <row r="30" spans="1:21" hidden="1">
      <c r="A30" s="396"/>
      <c r="B30" s="338">
        <f t="shared" ref="B30:B36" si="0">B31-0.5</f>
        <v>-4</v>
      </c>
      <c r="C30" s="488" t="s">
        <v>493</v>
      </c>
      <c r="D30" s="499">
        <f>Lead!$Q$27</f>
        <v>0.13614999999999999</v>
      </c>
      <c r="E30" s="399">
        <f>$G$12</f>
        <v>5549.0099999999993</v>
      </c>
      <c r="F30" s="399">
        <f>$G$27</f>
        <v>745.12</v>
      </c>
      <c r="G30" s="382">
        <f t="shared" ref="G30:G35" si="1">ROUND((E30+B30*F30)+(E30+B30*F30)*D30,2)</f>
        <v>2918.24</v>
      </c>
      <c r="H30" s="382"/>
      <c r="I30" s="382"/>
      <c r="J30" s="389"/>
      <c r="K30" s="389"/>
      <c r="L30" s="389"/>
      <c r="M30" s="389"/>
      <c r="N30" s="389"/>
      <c r="O30" s="389"/>
      <c r="P30" s="389"/>
      <c r="Q30" s="389"/>
      <c r="R30" s="540"/>
      <c r="S30" s="540"/>
      <c r="T30" s="540"/>
      <c r="U30" s="540"/>
    </row>
    <row r="31" spans="1:21" hidden="1">
      <c r="A31" s="396"/>
      <c r="B31" s="338">
        <f t="shared" si="0"/>
        <v>-3.5</v>
      </c>
      <c r="C31" s="488" t="s">
        <v>494</v>
      </c>
      <c r="D31" s="385">
        <f>Lead!$Q$27</f>
        <v>0.13614999999999999</v>
      </c>
      <c r="E31" s="399">
        <f t="shared" ref="E31:E47" si="2">$G$12</f>
        <v>5549.0099999999993</v>
      </c>
      <c r="F31" s="399">
        <f t="shared" ref="F31:F47" si="3">$G$27</f>
        <v>745.12</v>
      </c>
      <c r="G31" s="382">
        <f t="shared" si="1"/>
        <v>3341.52</v>
      </c>
      <c r="H31" s="382"/>
      <c r="I31" s="382"/>
      <c r="J31" s="389"/>
      <c r="K31" s="389"/>
      <c r="L31" s="389"/>
      <c r="M31" s="389"/>
      <c r="N31" s="389"/>
      <c r="O31" s="389"/>
      <c r="P31" s="389"/>
      <c r="Q31" s="389"/>
      <c r="R31" s="540"/>
      <c r="S31" s="540"/>
      <c r="T31" s="540"/>
      <c r="U31" s="540"/>
    </row>
    <row r="32" spans="1:21" hidden="1">
      <c r="A32" s="396"/>
      <c r="B32" s="338">
        <f t="shared" si="0"/>
        <v>-3</v>
      </c>
      <c r="C32" s="488" t="s">
        <v>495</v>
      </c>
      <c r="D32" s="385">
        <f>Lead!$Q$27</f>
        <v>0.13614999999999999</v>
      </c>
      <c r="E32" s="399">
        <f t="shared" si="2"/>
        <v>5549.0099999999993</v>
      </c>
      <c r="F32" s="399">
        <f t="shared" si="3"/>
        <v>745.12</v>
      </c>
      <c r="G32" s="382">
        <f t="shared" si="1"/>
        <v>3764.8</v>
      </c>
      <c r="H32" s="382"/>
      <c r="I32" s="382"/>
      <c r="J32" s="389"/>
      <c r="K32" s="389"/>
      <c r="L32" s="389"/>
      <c r="M32" s="389"/>
      <c r="N32" s="389"/>
      <c r="O32" s="389"/>
      <c r="P32" s="389"/>
      <c r="Q32" s="389"/>
      <c r="R32" s="540"/>
      <c r="S32" s="540"/>
      <c r="T32" s="540"/>
      <c r="U32" s="540"/>
    </row>
    <row r="33" spans="1:54" hidden="1">
      <c r="A33" s="396"/>
      <c r="B33" s="338">
        <f t="shared" si="0"/>
        <v>-2.5</v>
      </c>
      <c r="C33" s="488" t="s">
        <v>496</v>
      </c>
      <c r="D33" s="385">
        <f>Lead!$Q$27</f>
        <v>0.13614999999999999</v>
      </c>
      <c r="E33" s="399">
        <f t="shared" si="2"/>
        <v>5549.0099999999993</v>
      </c>
      <c r="F33" s="399">
        <f t="shared" si="3"/>
        <v>745.12</v>
      </c>
      <c r="G33" s="382">
        <f t="shared" si="1"/>
        <v>4188.09</v>
      </c>
      <c r="H33" s="382"/>
      <c r="I33" s="382"/>
      <c r="J33" s="389"/>
      <c r="K33" s="389"/>
      <c r="L33" s="389"/>
      <c r="M33" s="389"/>
      <c r="N33" s="389"/>
      <c r="O33" s="389"/>
      <c r="P33" s="389"/>
      <c r="Q33" s="389"/>
      <c r="R33" s="540"/>
      <c r="S33" s="540"/>
      <c r="T33" s="540"/>
      <c r="U33" s="540"/>
    </row>
    <row r="34" spans="1:54" hidden="1">
      <c r="A34" s="396"/>
      <c r="B34" s="338">
        <f t="shared" si="0"/>
        <v>-2</v>
      </c>
      <c r="C34" s="488" t="s">
        <v>497</v>
      </c>
      <c r="D34" s="385">
        <f>Lead!$Q$27</f>
        <v>0.13614999999999999</v>
      </c>
      <c r="E34" s="399">
        <f t="shared" si="2"/>
        <v>5549.0099999999993</v>
      </c>
      <c r="F34" s="399">
        <f t="shared" si="3"/>
        <v>745.12</v>
      </c>
      <c r="G34" s="382">
        <f t="shared" si="1"/>
        <v>4611.37</v>
      </c>
      <c r="H34" s="382"/>
      <c r="I34" s="382"/>
      <c r="J34" s="389"/>
      <c r="K34" s="389"/>
      <c r="L34" s="389"/>
      <c r="M34" s="389"/>
      <c r="N34" s="389"/>
      <c r="O34" s="389"/>
      <c r="P34" s="389"/>
      <c r="Q34" s="389"/>
      <c r="R34" s="540"/>
      <c r="S34" s="540"/>
      <c r="T34" s="540"/>
      <c r="U34" s="540"/>
    </row>
    <row r="35" spans="1:54" hidden="1">
      <c r="A35" s="396"/>
      <c r="B35" s="338">
        <f t="shared" si="0"/>
        <v>-1.5</v>
      </c>
      <c r="C35" s="488" t="s">
        <v>498</v>
      </c>
      <c r="D35" s="385">
        <f>Lead!$Q$27</f>
        <v>0.13614999999999999</v>
      </c>
      <c r="E35" s="399">
        <f t="shared" si="2"/>
        <v>5549.0099999999993</v>
      </c>
      <c r="F35" s="399">
        <f t="shared" si="3"/>
        <v>745.12</v>
      </c>
      <c r="G35" s="382">
        <f t="shared" si="1"/>
        <v>5034.66</v>
      </c>
      <c r="H35" s="382"/>
      <c r="I35" s="382"/>
      <c r="J35" s="389"/>
      <c r="K35" s="389"/>
      <c r="L35" s="389"/>
      <c r="M35" s="389"/>
      <c r="N35" s="389"/>
      <c r="O35" s="389"/>
      <c r="P35" s="389"/>
      <c r="Q35" s="389"/>
      <c r="R35" s="540"/>
      <c r="S35" s="540"/>
      <c r="T35" s="540"/>
      <c r="U35" s="540"/>
    </row>
    <row r="36" spans="1:54" hidden="1">
      <c r="A36" s="396"/>
      <c r="B36" s="338">
        <f t="shared" si="0"/>
        <v>-1</v>
      </c>
      <c r="C36" s="488" t="s">
        <v>499</v>
      </c>
      <c r="D36" s="385">
        <f>Lead!$Q$27</f>
        <v>0.13614999999999999</v>
      </c>
      <c r="E36" s="399">
        <f t="shared" si="2"/>
        <v>5549.0099999999993</v>
      </c>
      <c r="F36" s="399">
        <f t="shared" si="3"/>
        <v>745.12</v>
      </c>
      <c r="G36" s="382">
        <f t="shared" ref="G36:G47" si="4">ROUND((E36+B36*F36)+(E36+B36*F36)*D36,2)</f>
        <v>5457.94</v>
      </c>
      <c r="H36" s="382"/>
      <c r="I36" s="382"/>
      <c r="J36" s="389"/>
      <c r="K36" s="389"/>
      <c r="L36" s="389"/>
      <c r="M36" s="389"/>
      <c r="N36" s="389"/>
      <c r="O36" s="389"/>
      <c r="P36" s="389"/>
      <c r="Q36" s="389"/>
      <c r="R36" s="540"/>
      <c r="S36" s="540"/>
      <c r="T36" s="540"/>
      <c r="U36" s="540"/>
    </row>
    <row r="37" spans="1:54" hidden="1">
      <c r="A37" s="396"/>
      <c r="B37" s="338">
        <f>B38-0.5</f>
        <v>-0.5</v>
      </c>
      <c r="C37" s="488" t="s">
        <v>500</v>
      </c>
      <c r="D37" s="385">
        <f>Lead!$Q$27</f>
        <v>0.13614999999999999</v>
      </c>
      <c r="E37" s="399">
        <f t="shared" si="2"/>
        <v>5549.0099999999993</v>
      </c>
      <c r="F37" s="399">
        <f t="shared" si="3"/>
        <v>745.12</v>
      </c>
      <c r="G37" s="382">
        <f t="shared" si="4"/>
        <v>5881.22</v>
      </c>
      <c r="H37" s="382"/>
      <c r="I37" s="382"/>
      <c r="J37" s="389"/>
      <c r="K37" s="389"/>
      <c r="L37" s="389"/>
      <c r="M37" s="389"/>
      <c r="N37" s="389"/>
      <c r="O37" s="389"/>
      <c r="P37" s="389"/>
      <c r="Q37" s="389"/>
      <c r="R37" s="540"/>
      <c r="S37" s="540"/>
      <c r="T37" s="540"/>
      <c r="U37" s="540"/>
    </row>
    <row r="38" spans="1:54" hidden="1">
      <c r="A38" s="396"/>
      <c r="B38" s="338">
        <v>0</v>
      </c>
      <c r="C38" s="488" t="s">
        <v>501</v>
      </c>
      <c r="D38" s="385">
        <f>Lead!$Q$27</f>
        <v>0.13614999999999999</v>
      </c>
      <c r="E38" s="399">
        <f t="shared" si="2"/>
        <v>5549.0099999999993</v>
      </c>
      <c r="F38" s="399">
        <f t="shared" si="3"/>
        <v>745.12</v>
      </c>
      <c r="G38" s="382">
        <f t="shared" si="4"/>
        <v>6304.51</v>
      </c>
      <c r="H38" s="382"/>
      <c r="I38" s="382"/>
      <c r="J38" s="389"/>
      <c r="K38" s="389"/>
      <c r="L38" s="389"/>
      <c r="M38" s="389"/>
      <c r="N38" s="389"/>
      <c r="O38" s="389"/>
      <c r="P38" s="389"/>
      <c r="Q38" s="389"/>
      <c r="R38" s="540"/>
      <c r="S38" s="540"/>
      <c r="T38" s="540"/>
      <c r="U38" s="540"/>
    </row>
    <row r="39" spans="1:54" hidden="1">
      <c r="A39" s="396"/>
      <c r="B39" s="338">
        <v>0.5</v>
      </c>
      <c r="C39" s="488" t="s">
        <v>502</v>
      </c>
      <c r="D39" s="385">
        <f>Lead!$Q$27</f>
        <v>0.13614999999999999</v>
      </c>
      <c r="E39" s="399">
        <f t="shared" si="2"/>
        <v>5549.0099999999993</v>
      </c>
      <c r="F39" s="399">
        <f t="shared" si="3"/>
        <v>745.12</v>
      </c>
      <c r="G39" s="382">
        <f t="shared" si="4"/>
        <v>6727.79</v>
      </c>
      <c r="H39" s="382"/>
      <c r="I39" s="382"/>
      <c r="J39" s="389"/>
      <c r="K39" s="389"/>
      <c r="L39" s="389"/>
      <c r="M39" s="389"/>
      <c r="N39" s="389"/>
      <c r="O39" s="389"/>
      <c r="P39" s="389"/>
      <c r="Q39" s="389"/>
      <c r="R39" s="540"/>
      <c r="S39" s="540"/>
      <c r="T39" s="540"/>
      <c r="U39" s="540"/>
    </row>
    <row r="40" spans="1:54" hidden="1">
      <c r="A40" s="396"/>
      <c r="B40" s="338">
        <v>1</v>
      </c>
      <c r="C40" s="488" t="s">
        <v>503</v>
      </c>
      <c r="D40" s="385">
        <f>Lead!$Q$27</f>
        <v>0.13614999999999999</v>
      </c>
      <c r="E40" s="399">
        <f t="shared" si="2"/>
        <v>5549.0099999999993</v>
      </c>
      <c r="F40" s="399">
        <f t="shared" si="3"/>
        <v>745.12</v>
      </c>
      <c r="G40" s="382">
        <f t="shared" si="4"/>
        <v>7151.08</v>
      </c>
      <c r="H40" s="382"/>
      <c r="I40" s="382"/>
      <c r="J40" s="389"/>
      <c r="K40" s="389"/>
      <c r="L40" s="389"/>
      <c r="M40" s="389"/>
      <c r="N40" s="389"/>
      <c r="O40" s="389"/>
      <c r="P40" s="389"/>
      <c r="Q40" s="389"/>
      <c r="R40" s="540"/>
      <c r="S40" s="540"/>
      <c r="T40" s="540"/>
      <c r="U40" s="540"/>
    </row>
    <row r="41" spans="1:54" hidden="1">
      <c r="A41" s="396"/>
      <c r="B41" s="338">
        <f>B40+0.5</f>
        <v>1.5</v>
      </c>
      <c r="C41" s="488" t="s">
        <v>504</v>
      </c>
      <c r="D41" s="385">
        <f>Lead!$Q$27</f>
        <v>0.13614999999999999</v>
      </c>
      <c r="E41" s="399">
        <f t="shared" si="2"/>
        <v>5549.0099999999993</v>
      </c>
      <c r="F41" s="399">
        <f t="shared" si="3"/>
        <v>745.12</v>
      </c>
      <c r="G41" s="382">
        <f t="shared" si="4"/>
        <v>7574.36</v>
      </c>
      <c r="H41" s="382"/>
      <c r="I41" s="382"/>
      <c r="J41" s="389"/>
      <c r="K41" s="389"/>
      <c r="L41" s="389"/>
      <c r="M41" s="389"/>
      <c r="N41" s="389"/>
      <c r="O41" s="389"/>
      <c r="P41" s="389"/>
      <c r="Q41" s="389"/>
      <c r="R41" s="540"/>
      <c r="S41" s="540"/>
      <c r="T41" s="540"/>
      <c r="U41" s="540"/>
    </row>
    <row r="42" spans="1:54" hidden="1">
      <c r="A42" s="396"/>
      <c r="B42" s="338">
        <f t="shared" ref="B42:B47" si="5">B41+0.5</f>
        <v>2</v>
      </c>
      <c r="C42" s="488" t="s">
        <v>505</v>
      </c>
      <c r="D42" s="385">
        <f>Lead!$Q$27</f>
        <v>0.13614999999999999</v>
      </c>
      <c r="E42" s="399">
        <f t="shared" si="2"/>
        <v>5549.0099999999993</v>
      </c>
      <c r="F42" s="399">
        <f t="shared" si="3"/>
        <v>745.12</v>
      </c>
      <c r="G42" s="382">
        <f t="shared" si="4"/>
        <v>7997.64</v>
      </c>
      <c r="H42" s="382"/>
      <c r="I42" s="382"/>
      <c r="J42" s="389"/>
      <c r="K42" s="389"/>
      <c r="L42" s="389"/>
      <c r="M42" s="389"/>
      <c r="N42" s="389"/>
      <c r="O42" s="389"/>
      <c r="P42" s="389"/>
      <c r="Q42" s="389"/>
      <c r="R42" s="540"/>
      <c r="S42" s="540"/>
      <c r="T42" s="540"/>
      <c r="U42" s="540"/>
    </row>
    <row r="43" spans="1:54" hidden="1">
      <c r="A43" s="396"/>
      <c r="B43" s="338">
        <f t="shared" si="5"/>
        <v>2.5</v>
      </c>
      <c r="C43" s="488" t="s">
        <v>506</v>
      </c>
      <c r="D43" s="385">
        <f>Lead!$Q$27</f>
        <v>0.13614999999999999</v>
      </c>
      <c r="E43" s="399">
        <f t="shared" si="2"/>
        <v>5549.0099999999993</v>
      </c>
      <c r="F43" s="399">
        <f t="shared" si="3"/>
        <v>745.12</v>
      </c>
      <c r="G43" s="382">
        <f t="shared" si="4"/>
        <v>8420.93</v>
      </c>
      <c r="H43" s="382"/>
      <c r="I43" s="382"/>
      <c r="J43" s="389"/>
      <c r="K43" s="389"/>
      <c r="L43" s="389"/>
      <c r="M43" s="389"/>
      <c r="N43" s="389"/>
      <c r="O43" s="389"/>
      <c r="P43" s="389"/>
      <c r="Q43" s="389"/>
      <c r="R43" s="540"/>
      <c r="S43" s="540"/>
      <c r="T43" s="540"/>
      <c r="U43" s="540"/>
    </row>
    <row r="44" spans="1:54" hidden="1">
      <c r="A44" s="396"/>
      <c r="B44" s="338">
        <f t="shared" si="5"/>
        <v>3</v>
      </c>
      <c r="C44" s="488" t="s">
        <v>507</v>
      </c>
      <c r="D44" s="385">
        <f>Lead!$Q$27</f>
        <v>0.13614999999999999</v>
      </c>
      <c r="E44" s="399">
        <f t="shared" si="2"/>
        <v>5549.0099999999993</v>
      </c>
      <c r="F44" s="399">
        <f t="shared" si="3"/>
        <v>745.12</v>
      </c>
      <c r="G44" s="382">
        <f t="shared" si="4"/>
        <v>8844.2099999999991</v>
      </c>
      <c r="H44" s="382"/>
      <c r="I44" s="382"/>
      <c r="J44" s="389"/>
      <c r="K44" s="389"/>
      <c r="L44" s="389"/>
      <c r="M44" s="389"/>
      <c r="N44" s="389"/>
      <c r="O44" s="389"/>
      <c r="P44" s="389"/>
      <c r="Q44" s="389"/>
      <c r="R44" s="540"/>
      <c r="S44" s="540"/>
      <c r="T44" s="540"/>
      <c r="U44" s="540"/>
    </row>
    <row r="45" spans="1:54" hidden="1">
      <c r="A45" s="396"/>
      <c r="B45" s="338">
        <f t="shared" si="5"/>
        <v>3.5</v>
      </c>
      <c r="C45" s="488" t="s">
        <v>508</v>
      </c>
      <c r="D45" s="385">
        <f>Lead!$Q$27</f>
        <v>0.13614999999999999</v>
      </c>
      <c r="E45" s="399">
        <f t="shared" si="2"/>
        <v>5549.0099999999993</v>
      </c>
      <c r="F45" s="399">
        <f t="shared" si="3"/>
        <v>745.12</v>
      </c>
      <c r="G45" s="382">
        <f t="shared" si="4"/>
        <v>9267.5</v>
      </c>
      <c r="H45" s="382"/>
      <c r="I45" s="382"/>
      <c r="J45" s="389"/>
      <c r="K45" s="389"/>
      <c r="L45" s="389"/>
      <c r="M45" s="389"/>
      <c r="N45" s="389"/>
      <c r="O45" s="389"/>
      <c r="P45" s="389"/>
      <c r="Q45" s="389"/>
      <c r="R45" s="540"/>
      <c r="S45" s="540"/>
      <c r="T45" s="540"/>
      <c r="U45" s="540"/>
    </row>
    <row r="46" spans="1:54" hidden="1">
      <c r="A46" s="396"/>
      <c r="B46" s="338">
        <f t="shared" si="5"/>
        <v>4</v>
      </c>
      <c r="C46" s="488" t="s">
        <v>509</v>
      </c>
      <c r="D46" s="385">
        <f>Lead!$Q$27</f>
        <v>0.13614999999999999</v>
      </c>
      <c r="E46" s="399">
        <f t="shared" si="2"/>
        <v>5549.0099999999993</v>
      </c>
      <c r="F46" s="399">
        <f t="shared" si="3"/>
        <v>745.12</v>
      </c>
      <c r="G46" s="382">
        <f t="shared" si="4"/>
        <v>9690.7800000000007</v>
      </c>
      <c r="H46" s="382"/>
      <c r="I46" s="382"/>
      <c r="J46" s="389"/>
      <c r="K46" s="389"/>
      <c r="L46" s="389"/>
      <c r="M46" s="389"/>
      <c r="N46" s="389"/>
      <c r="O46" s="389"/>
      <c r="P46" s="389"/>
      <c r="Q46" s="389"/>
      <c r="R46" s="540"/>
      <c r="S46" s="540"/>
      <c r="T46" s="540"/>
      <c r="U46" s="540"/>
    </row>
    <row r="47" spans="1:54" hidden="1">
      <c r="A47" s="396"/>
      <c r="B47" s="338">
        <f t="shared" si="5"/>
        <v>4.5</v>
      </c>
      <c r="C47" s="488" t="s">
        <v>510</v>
      </c>
      <c r="D47" s="385">
        <f>Lead!$Q$27</f>
        <v>0.13614999999999999</v>
      </c>
      <c r="E47" s="399">
        <f t="shared" si="2"/>
        <v>5549.0099999999993</v>
      </c>
      <c r="F47" s="399">
        <f t="shared" si="3"/>
        <v>745.12</v>
      </c>
      <c r="G47" s="382">
        <f t="shared" si="4"/>
        <v>10114.06</v>
      </c>
      <c r="H47" s="382"/>
      <c r="I47" s="382"/>
      <c r="J47" s="389"/>
      <c r="K47" s="389"/>
      <c r="L47" s="389"/>
      <c r="M47" s="389"/>
      <c r="N47" s="389"/>
      <c r="O47" s="389"/>
      <c r="P47" s="389"/>
      <c r="Q47" s="389"/>
      <c r="R47" s="540"/>
      <c r="S47" s="540"/>
      <c r="T47" s="540"/>
      <c r="U47" s="540"/>
    </row>
    <row r="48" spans="1:54" ht="163.5" customHeight="1">
      <c r="A48" s="396"/>
      <c r="B48" s="605">
        <v>1</v>
      </c>
      <c r="C48" s="864" t="s">
        <v>1235</v>
      </c>
      <c r="D48" s="338"/>
      <c r="E48" s="399"/>
      <c r="F48" s="472"/>
      <c r="G48" s="414"/>
      <c r="H48" s="1602" t="s">
        <v>446</v>
      </c>
      <c r="I48" s="1603"/>
      <c r="J48" s="1600" t="s">
        <v>440</v>
      </c>
      <c r="K48" s="1601"/>
      <c r="L48" s="1600" t="s">
        <v>439</v>
      </c>
      <c r="M48" s="1604"/>
      <c r="N48" s="1600" t="s">
        <v>717</v>
      </c>
      <c r="O48" s="1601"/>
      <c r="P48" s="1600" t="s">
        <v>718</v>
      </c>
      <c r="Q48" s="1601"/>
      <c r="R48" s="1600"/>
      <c r="S48" s="1601"/>
      <c r="T48" s="1600"/>
      <c r="U48" s="1601"/>
      <c r="V48" s="966"/>
      <c r="W48" s="966"/>
      <c r="X48" s="966"/>
      <c r="Y48" s="966"/>
      <c r="Z48" s="966"/>
      <c r="AA48" s="966"/>
      <c r="AB48" s="966"/>
      <c r="AC48" s="966"/>
      <c r="AD48" s="966"/>
      <c r="AE48" s="966"/>
      <c r="AF48" s="966"/>
      <c r="AG48" s="966"/>
      <c r="AH48" s="966"/>
      <c r="AM48" s="141" t="s">
        <v>1104</v>
      </c>
      <c r="AO48" s="141" t="s">
        <v>1105</v>
      </c>
      <c r="AQ48" s="141" t="s">
        <v>439</v>
      </c>
      <c r="AS48" s="141" t="s">
        <v>717</v>
      </c>
      <c r="AU48" s="141" t="s">
        <v>718</v>
      </c>
      <c r="BA48" s="141" t="s">
        <v>1105</v>
      </c>
      <c r="BB48" s="141" t="s">
        <v>439</v>
      </c>
    </row>
    <row r="49" spans="1:54">
      <c r="A49" s="396"/>
      <c r="B49" s="605"/>
      <c r="C49" s="474" t="s">
        <v>857</v>
      </c>
      <c r="D49" s="338">
        <v>0.9</v>
      </c>
      <c r="E49" s="399" t="s">
        <v>862</v>
      </c>
      <c r="F49" s="472">
        <v>0.15</v>
      </c>
      <c r="G49" s="414"/>
      <c r="H49" s="854" t="s">
        <v>856</v>
      </c>
      <c r="I49" s="855">
        <f>0.2+(2*0.016)</f>
        <v>0.23200000000000001</v>
      </c>
      <c r="J49" s="603" t="s">
        <v>856</v>
      </c>
      <c r="K49" s="604">
        <v>0.31</v>
      </c>
      <c r="L49" s="603" t="s">
        <v>856</v>
      </c>
      <c r="M49" s="604">
        <v>0.4</v>
      </c>
      <c r="N49" s="603" t="s">
        <v>856</v>
      </c>
      <c r="O49" s="604">
        <v>0.57999999999999996</v>
      </c>
      <c r="P49" s="603" t="s">
        <v>856</v>
      </c>
      <c r="Q49" s="604">
        <v>0.75</v>
      </c>
      <c r="R49" s="706"/>
      <c r="S49" s="707"/>
      <c r="T49" s="706"/>
      <c r="U49" s="707"/>
      <c r="V49" s="966"/>
      <c r="W49" s="966"/>
      <c r="X49" s="966"/>
      <c r="Y49" s="966"/>
      <c r="Z49" s="966"/>
      <c r="AA49" s="966"/>
      <c r="AB49" s="966"/>
      <c r="AC49" s="966"/>
      <c r="AD49" s="966"/>
      <c r="AE49" s="966"/>
      <c r="AF49" s="966"/>
      <c r="AG49" s="966"/>
      <c r="AH49" s="966"/>
      <c r="AI49" s="141" t="s">
        <v>109</v>
      </c>
      <c r="AJ49" s="141">
        <v>0.32463647685870128</v>
      </c>
      <c r="AK49" s="141">
        <v>4283.59</v>
      </c>
      <c r="AL49" s="141">
        <v>1390.61</v>
      </c>
      <c r="AN49" s="141">
        <v>0.32463647685870128</v>
      </c>
      <c r="AP49" s="141">
        <v>0.32463647685870128</v>
      </c>
      <c r="AR49" s="141">
        <v>0.32463647685870128</v>
      </c>
      <c r="AT49" s="141">
        <v>0.32463647685870128</v>
      </c>
      <c r="AV49" s="141">
        <v>0.32463647685870128</v>
      </c>
      <c r="BA49" s="141">
        <v>1390.61</v>
      </c>
      <c r="BB49" s="141">
        <v>1390.61</v>
      </c>
    </row>
    <row r="50" spans="1:54">
      <c r="A50" s="396"/>
      <c r="B50" s="605"/>
      <c r="C50" s="474" t="s">
        <v>858</v>
      </c>
      <c r="D50" s="338">
        <v>0.6</v>
      </c>
      <c r="E50" s="399" t="s">
        <v>859</v>
      </c>
      <c r="F50" s="472">
        <v>0.23</v>
      </c>
      <c r="G50" s="414"/>
      <c r="H50" s="854"/>
      <c r="I50" s="854"/>
      <c r="J50" s="603"/>
      <c r="K50" s="604"/>
      <c r="L50" s="603"/>
      <c r="M50" s="604"/>
      <c r="N50" s="603"/>
      <c r="O50" s="604"/>
      <c r="P50" s="603"/>
      <c r="Q50" s="604"/>
      <c r="R50" s="706"/>
      <c r="S50" s="707"/>
      <c r="T50" s="706"/>
      <c r="U50" s="707"/>
      <c r="V50" s="966"/>
      <c r="W50" s="966"/>
      <c r="X50" s="966"/>
      <c r="Y50" s="966"/>
      <c r="Z50" s="966"/>
      <c r="AA50" s="966"/>
      <c r="AB50" s="966"/>
      <c r="AC50" s="966"/>
      <c r="AD50" s="966"/>
      <c r="AE50" s="966"/>
      <c r="AF50" s="966"/>
      <c r="AG50" s="966"/>
      <c r="AH50" s="966"/>
      <c r="AI50" s="141" t="s">
        <v>109</v>
      </c>
      <c r="AJ50" s="141">
        <v>0.30759997226719493</v>
      </c>
      <c r="AK50" s="141">
        <v>9426.75</v>
      </c>
      <c r="AL50" s="141">
        <v>2899.67</v>
      </c>
      <c r="AM50" s="141">
        <v>1.9E-2</v>
      </c>
      <c r="AN50" s="141">
        <v>0.30759997226719493</v>
      </c>
      <c r="AO50" s="141">
        <v>0.03</v>
      </c>
      <c r="AP50" s="141">
        <v>0.29659997226719492</v>
      </c>
      <c r="AQ50" s="141">
        <v>5.8000000000000003E-2</v>
      </c>
      <c r="AR50" s="141">
        <v>0.26859997226719495</v>
      </c>
      <c r="AS50" s="141">
        <v>0.122</v>
      </c>
      <c r="AT50" s="141">
        <v>0.20459997226719495</v>
      </c>
      <c r="AU50" s="141">
        <v>0.20300000000000001</v>
      </c>
      <c r="AV50" s="141">
        <v>0.12359997226719494</v>
      </c>
      <c r="BA50" s="141">
        <v>2795.97</v>
      </c>
      <c r="BB50" s="141">
        <v>2532.02</v>
      </c>
    </row>
    <row r="51" spans="1:54">
      <c r="A51" s="396"/>
      <c r="B51" s="605"/>
      <c r="C51" s="474" t="s">
        <v>860</v>
      </c>
      <c r="D51" s="338">
        <v>0.4</v>
      </c>
      <c r="E51" s="399" t="s">
        <v>861</v>
      </c>
      <c r="F51" s="472">
        <v>0.23</v>
      </c>
      <c r="G51" s="414"/>
      <c r="H51" s="854"/>
      <c r="I51" s="854"/>
      <c r="J51" s="603"/>
      <c r="K51" s="604"/>
      <c r="L51" s="603"/>
      <c r="M51" s="604"/>
      <c r="N51" s="603"/>
      <c r="O51" s="604"/>
      <c r="P51" s="603"/>
      <c r="Q51" s="604"/>
      <c r="R51" s="706"/>
      <c r="S51" s="707"/>
      <c r="T51" s="706"/>
      <c r="U51" s="707"/>
      <c r="V51" s="966"/>
      <c r="W51" s="966"/>
      <c r="X51" s="966"/>
      <c r="Y51" s="966"/>
      <c r="Z51" s="966"/>
      <c r="AA51" s="966"/>
      <c r="AB51" s="966"/>
      <c r="AC51" s="966"/>
      <c r="AD51" s="966"/>
      <c r="AE51" s="966"/>
      <c r="AF51" s="966"/>
      <c r="AG51" s="966"/>
      <c r="AH51" s="966"/>
      <c r="AI51" s="141" t="s">
        <v>109</v>
      </c>
      <c r="AJ51" s="141">
        <v>0.24278228026941923</v>
      </c>
      <c r="AK51" s="141">
        <v>9426.75</v>
      </c>
      <c r="AL51" s="141">
        <v>2288.65</v>
      </c>
      <c r="AN51" s="141">
        <v>0.24278228026941923</v>
      </c>
      <c r="AP51" s="141">
        <v>0.24278228026941923</v>
      </c>
      <c r="AR51" s="141">
        <v>0.24278228026941923</v>
      </c>
      <c r="AT51" s="141">
        <v>0.29480705461286622</v>
      </c>
      <c r="AV51" s="141">
        <v>0.24278228026941923</v>
      </c>
      <c r="BA51" s="141">
        <v>2288.65</v>
      </c>
      <c r="BB51" s="141">
        <v>2288.65</v>
      </c>
    </row>
    <row r="52" spans="1:54">
      <c r="A52" s="396"/>
      <c r="B52" s="605"/>
      <c r="C52" s="474" t="s">
        <v>863</v>
      </c>
      <c r="D52" s="338">
        <v>0.56000000000000005</v>
      </c>
      <c r="E52" s="399"/>
      <c r="F52" s="472"/>
      <c r="G52" s="414"/>
      <c r="H52" s="854"/>
      <c r="I52" s="854"/>
      <c r="J52" s="603"/>
      <c r="K52" s="604"/>
      <c r="L52" s="603"/>
      <c r="M52" s="604"/>
      <c r="N52" s="603"/>
      <c r="O52" s="604"/>
      <c r="P52" s="603"/>
      <c r="Q52" s="604"/>
      <c r="R52" s="706"/>
      <c r="S52" s="707"/>
      <c r="T52" s="706"/>
      <c r="U52" s="707"/>
      <c r="V52" s="966"/>
      <c r="W52" s="966"/>
      <c r="X52" s="966"/>
      <c r="Y52" s="966"/>
      <c r="Z52" s="966"/>
      <c r="AA52" s="966"/>
      <c r="AB52" s="966"/>
      <c r="AC52" s="966"/>
      <c r="AD52" s="966"/>
      <c r="AE52" s="966"/>
      <c r="AF52" s="966"/>
      <c r="AG52" s="966"/>
      <c r="AH52" s="966"/>
      <c r="AI52" s="141" t="s">
        <v>224</v>
      </c>
      <c r="AJ52" s="141">
        <v>2.9324997437729969</v>
      </c>
      <c r="AK52" s="141">
        <v>166.45400000000001</v>
      </c>
      <c r="AL52" s="141">
        <v>488.13</v>
      </c>
      <c r="AM52" s="141">
        <v>8.5000000000000006E-2</v>
      </c>
      <c r="AN52" s="141">
        <v>2.9324997437729969</v>
      </c>
      <c r="AO52" s="141">
        <v>0.13200000000000001</v>
      </c>
      <c r="AP52" s="141">
        <v>2.8854997437729968</v>
      </c>
      <c r="AQ52" s="141">
        <v>0.251</v>
      </c>
      <c r="AR52" s="141">
        <v>2.766499743772997</v>
      </c>
      <c r="AS52" s="141">
        <v>0.52800000000000002</v>
      </c>
      <c r="AT52" s="141">
        <v>3.4241235582159599</v>
      </c>
      <c r="AU52" s="141">
        <v>0.88400000000000001</v>
      </c>
      <c r="AV52" s="141">
        <v>3.0681235582159605</v>
      </c>
      <c r="BA52" s="141">
        <v>480.3</v>
      </c>
      <c r="BB52" s="141">
        <v>460.49</v>
      </c>
    </row>
    <row r="53" spans="1:54" ht="21" customHeight="1">
      <c r="A53" s="396"/>
      <c r="B53" s="396"/>
      <c r="C53" s="474" t="str">
        <f>CONCATENATE("CC in CM( 1:4:8) PI/4x(0.9+0.46+0.3)x0.15=",E53)</f>
        <v>CC in CM( 1:4:8) PI/4x(0.9+0.46+0.3)x0.15=0.3246</v>
      </c>
      <c r="D53" s="805" t="s">
        <v>109</v>
      </c>
      <c r="E53" s="489">
        <f>ROUND(I53,4)</f>
        <v>0.3246</v>
      </c>
      <c r="F53" s="863">
        <f>'Datas P7'!G226</f>
        <v>5383.2900000000009</v>
      </c>
      <c r="G53" s="477">
        <f>+ROUND(E53*F53,2)</f>
        <v>1747.42</v>
      </c>
      <c r="H53" s="856"/>
      <c r="I53" s="856">
        <f>(PI()/4)*(($D$49+(2*$F$51))+0.3)^2*$F$49</f>
        <v>0.32463647685870128</v>
      </c>
      <c r="J53" s="477"/>
      <c r="K53" s="822">
        <f>(PI()/4)*(($D$49+(2*$F$51))+0.3)^2*$F$49</f>
        <v>0.32463647685870128</v>
      </c>
      <c r="L53" s="477"/>
      <c r="M53" s="822">
        <f>(PI()/4)*(($D$49+(2*$F$51))+0.3)^2*$F$49</f>
        <v>0.32463647685870128</v>
      </c>
      <c r="N53" s="477"/>
      <c r="O53" s="822">
        <f>(PI()/4)*(($D$49+(2*$F$51))+0.3)^2*$F$49</f>
        <v>0.32463647685870128</v>
      </c>
      <c r="P53" s="822"/>
      <c r="Q53" s="822">
        <f>(PI()/4)*(($D$49+(2*$F$51))+0.3)^2*$F$49</f>
        <v>0.32463647685870128</v>
      </c>
      <c r="R53" s="389"/>
      <c r="S53" s="389"/>
      <c r="T53" s="389"/>
      <c r="U53" s="389"/>
      <c r="V53" s="165"/>
      <c r="W53" s="165">
        <f>3.14/4*(0.9+0.46+0.3)^2*0.15</f>
        <v>0.32447190000000004</v>
      </c>
      <c r="X53" s="165"/>
      <c r="Y53" s="165"/>
      <c r="Z53" s="165"/>
      <c r="AA53" s="165"/>
      <c r="AB53" s="165"/>
      <c r="AC53" s="165"/>
      <c r="AD53" s="165"/>
      <c r="AE53" s="165"/>
      <c r="AF53" s="165"/>
      <c r="AG53" s="165"/>
      <c r="AH53" s="165"/>
      <c r="AI53" s="141" t="s">
        <v>224</v>
      </c>
      <c r="AJ53" s="141">
        <v>1.2776502782845176</v>
      </c>
      <c r="AK53" s="141">
        <v>253.714</v>
      </c>
      <c r="AL53" s="141">
        <v>324.16000000000003</v>
      </c>
      <c r="AM53" s="141">
        <v>0.65600000000000003</v>
      </c>
      <c r="AN53" s="141">
        <v>1.2776502782845176</v>
      </c>
      <c r="AO53" s="141">
        <v>0.82</v>
      </c>
      <c r="AP53" s="141">
        <v>1.1136502782845179</v>
      </c>
      <c r="AQ53" s="141">
        <v>1.131</v>
      </c>
      <c r="AR53" s="141">
        <v>0.80265027828451774</v>
      </c>
      <c r="AS53" s="141">
        <v>1.64</v>
      </c>
      <c r="AT53" s="141">
        <v>0.46565247606855897</v>
      </c>
      <c r="AU53" s="141">
        <v>2.121</v>
      </c>
      <c r="AV53" s="141">
        <v>0</v>
      </c>
      <c r="BA53" s="141">
        <v>282.55</v>
      </c>
      <c r="BB53" s="141">
        <v>203.64</v>
      </c>
    </row>
    <row r="54" spans="1:54" ht="38.25">
      <c r="A54" s="396"/>
      <c r="B54" s="396"/>
      <c r="C54" s="474" t="str">
        <f>CONCATENATE("2nd Class Brick Masonory in cm (1: 6) Prop using 2nd class bricks for Uniform Section( PIx1.13x0.23x0.4)-(PI/4*0.23*0.23*.23*2)=",E54)</f>
        <v>2nd Class Brick Masonory in cm (1: 6) Prop using 2nd class bricks for Uniform Section( PIx1.13x0.23x0.4)-(PI/4*0.23*0.23*.23*2)=0.3076</v>
      </c>
      <c r="D54" s="805" t="s">
        <v>109</v>
      </c>
      <c r="E54" s="489">
        <f t="shared" ref="E54:E57" si="6">ROUND(I54,4)</f>
        <v>0.30759999999999998</v>
      </c>
      <c r="F54" s="863">
        <f>'Datas P7'!G287</f>
        <v>8504.4699999999993</v>
      </c>
      <c r="G54" s="477">
        <f t="shared" ref="G54:G59" si="7">+ROUND(E54*F54,2)</f>
        <v>2615.9699999999998</v>
      </c>
      <c r="H54" s="857">
        <f>ROUND(PI()/4*I49*I49*$F$51*2,3)</f>
        <v>1.9E-2</v>
      </c>
      <c r="I54" s="858">
        <f>(PI()*($D$49+$F$51)*$F$51*$D$51)-H54</f>
        <v>0.30759997226719493</v>
      </c>
      <c r="J54" s="479">
        <f>ROUND(PI()/4*K49*K49*$F$51*2,3)</f>
        <v>3.5000000000000003E-2</v>
      </c>
      <c r="K54" s="479">
        <f>(PI()*($D$49+$F$51)*$F$51*$D$51)-J54</f>
        <v>0.29159997226719492</v>
      </c>
      <c r="L54" s="479">
        <f>ROUND((PI()/4)*M49*M49*$F$51*2,3)</f>
        <v>5.8000000000000003E-2</v>
      </c>
      <c r="M54" s="479">
        <f>(PI()*($D$49+$F$51)*$F$51*$D$51)-L54</f>
        <v>0.26859997226719495</v>
      </c>
      <c r="N54" s="479">
        <f>ROUND(PI()/4*O49*O49*$F$51*2,3)</f>
        <v>0.122</v>
      </c>
      <c r="O54" s="479">
        <f>(PI()*($D$49+$F$51)*$F$51*$D$51)-N54</f>
        <v>0.20459997226719495</v>
      </c>
      <c r="P54" s="479">
        <f>ROUND(PI()/4*Q49*Q49*$F$51*2,3)</f>
        <v>0.20300000000000001</v>
      </c>
      <c r="Q54" s="479">
        <f>(PI()*($D$49+$F$51)*$F$51*$D$51)-P54</f>
        <v>0.12359997226719494</v>
      </c>
      <c r="R54" s="479"/>
      <c r="S54" s="479"/>
      <c r="T54" s="479"/>
      <c r="U54" s="479"/>
      <c r="V54" s="465"/>
      <c r="W54" s="465">
        <f>(3.14*1.13*0.23*0.4)-(3.14/4*0.23*0.23*0.23*2)</f>
        <v>0.30733221000000005</v>
      </c>
      <c r="X54" s="465"/>
      <c r="Y54" s="465"/>
      <c r="Z54" s="465"/>
      <c r="AA54" s="465"/>
      <c r="AB54" s="465"/>
      <c r="AC54" s="465"/>
      <c r="AD54" s="465"/>
      <c r="AE54" s="465"/>
      <c r="AF54" s="465"/>
      <c r="AG54" s="465"/>
      <c r="AH54" s="465"/>
      <c r="AI54" s="141" t="s">
        <v>109</v>
      </c>
      <c r="AJ54" s="141">
        <v>0.13713715488341274</v>
      </c>
      <c r="AK54" s="141">
        <v>5040.1499999999996</v>
      </c>
      <c r="AL54" s="141">
        <v>691.19</v>
      </c>
      <c r="AM54" s="141">
        <v>1.9E-2</v>
      </c>
      <c r="AN54" s="141">
        <v>0.13713715488341274</v>
      </c>
      <c r="AO54" s="141">
        <v>0.03</v>
      </c>
      <c r="AP54" s="141">
        <v>0.12613715488341273</v>
      </c>
      <c r="AQ54" s="141">
        <v>5.7000000000000002E-2</v>
      </c>
      <c r="AR54" s="141">
        <v>9.9137154883412737E-2</v>
      </c>
      <c r="AS54" s="141">
        <v>0.23799999999999999</v>
      </c>
      <c r="AT54" s="141">
        <v>0.22696356671292334</v>
      </c>
      <c r="AU54" s="141">
        <v>0.39800000000000002</v>
      </c>
      <c r="AV54" s="141">
        <v>0.17511289381275208</v>
      </c>
      <c r="BA54" s="141">
        <v>635.75</v>
      </c>
      <c r="BB54" s="141">
        <v>499.67</v>
      </c>
    </row>
    <row r="55" spans="1:54" ht="38.25">
      <c r="A55" s="396"/>
      <c r="B55" s="396"/>
      <c r="C55" s="474" t="str">
        <f>CONCATENATE("2nd Class Brick Masonory work  in cm (1: 6) )Prop using 2nd class bricks for Carbelling Portion Pix(1.13+0.78)/2x0.23x(0.6-.25)=",E55)</f>
        <v>2nd Class Brick Masonory work  in cm (1: 6) )Prop using 2nd class bricks for Carbelling Portion Pix(1.13+0.78)/2x0.23x(0.6-.25)=0.2428</v>
      </c>
      <c r="D55" s="805" t="s">
        <v>109</v>
      </c>
      <c r="E55" s="489">
        <f t="shared" si="6"/>
        <v>0.24279999999999999</v>
      </c>
      <c r="F55" s="863">
        <f>F54</f>
        <v>8504.4699999999993</v>
      </c>
      <c r="G55" s="477">
        <f t="shared" si="7"/>
        <v>2064.89</v>
      </c>
      <c r="H55" s="851"/>
      <c r="I55" s="851">
        <f>(PI()*(($D$49+$F$50+$D$52+$F$50)/2)*$F$50)*($D$50-0.25)</f>
        <v>0.24278228026941923</v>
      </c>
      <c r="J55" s="389"/>
      <c r="K55" s="389">
        <f>(PI()*(($D$49+$F$50+$D$52+$F$50)/2)*$F$50)*($D$50-0.25)</f>
        <v>0.24278228026941923</v>
      </c>
      <c r="L55" s="493"/>
      <c r="M55" s="389">
        <f>(PI()*(($D$49+$F$50+($D$52+$F$50))/2)*$F$50)*($D$50-0.175)</f>
        <v>0.29480705461286622</v>
      </c>
      <c r="N55" s="389"/>
      <c r="O55" s="389">
        <f>(PI()*(($D$49+$F$50+$D$52+$F$50)/2)*$F$50)*($D$50-0.175)</f>
        <v>0.29480705461286622</v>
      </c>
      <c r="P55" s="389"/>
      <c r="Q55" s="389">
        <f>(PI()*(($D$49+$F$50+$D$52+$F$50)/2)*$F$50)*($D$50-0.25)</f>
        <v>0.24278228026941923</v>
      </c>
      <c r="R55" s="389"/>
      <c r="S55" s="389"/>
      <c r="T55" s="389"/>
      <c r="U55" s="389"/>
      <c r="V55" s="165"/>
      <c r="W55" s="465">
        <f>3.14*(1.13+0.78)/2*0.23*(0.6-0.25)</f>
        <v>0.24139534999999998</v>
      </c>
      <c r="X55" s="165"/>
      <c r="Y55" s="165"/>
      <c r="Z55" s="165"/>
      <c r="AA55" s="165"/>
      <c r="AB55" s="165"/>
      <c r="AC55" s="165"/>
      <c r="AD55" s="165"/>
      <c r="AE55" s="165"/>
      <c r="AF55" s="165"/>
      <c r="AG55" s="165"/>
      <c r="AH55" s="165"/>
      <c r="AI55" s="141" t="s">
        <v>226</v>
      </c>
      <c r="AJ55" s="141">
        <v>2</v>
      </c>
      <c r="AK55" s="141">
        <v>81</v>
      </c>
      <c r="AL55" s="141">
        <v>162</v>
      </c>
      <c r="BA55" s="141">
        <v>162</v>
      </c>
      <c r="BB55" s="141">
        <v>162</v>
      </c>
    </row>
    <row r="56" spans="1:54" ht="53.25" customHeight="1">
      <c r="A56" s="396"/>
      <c r="B56" s="396"/>
      <c r="C56" s="970" t="str">
        <f>CONCATENATE("External Plastering in CM(1:4) of 12 mm thick vertical portion Pix(.9+.23*2)x0.40 and sloped portion Pix(1.36+1.01)/2x(0.6-.25)  Dedcut Pipe Portion 2xPI()/4x0.23x0.23=",E56)</f>
        <v>External Plastering in CM(1:4) of 12 mm thick vertical portion Pix(.9+.23*2)x0.40 and sloped portion Pix(1.36+1.01)/2x(0.6-.25)  Dedcut Pipe Portion 2xPI()/4x0.23x0.23=2.9325</v>
      </c>
      <c r="D56" s="805" t="s">
        <v>224</v>
      </c>
      <c r="E56" s="489">
        <f t="shared" si="6"/>
        <v>2.9325000000000001</v>
      </c>
      <c r="F56" s="863">
        <f>'Datas P7'!G298</f>
        <v>170.45499999999998</v>
      </c>
      <c r="G56" s="477">
        <f t="shared" si="7"/>
        <v>499.86</v>
      </c>
      <c r="H56" s="851">
        <f>ROUND(PI()/4*I49*I49*2,3)</f>
        <v>8.5000000000000006E-2</v>
      </c>
      <c r="I56" s="859">
        <f>((PI()*($D$49+2*($F$51))))*($D$51)+(PI()*(($D$49+2*($F$51)+$D$52+2*($F$50))/2)*($D$50-0.25))-H56</f>
        <v>2.9324997437729969</v>
      </c>
      <c r="J56" s="389">
        <f>ROUND(PI()/4*K49*K49*2,3)</f>
        <v>0.151</v>
      </c>
      <c r="K56" s="389">
        <f>((PI()*($D$49+2*($F$51))))*($D$51)+(PI()*(($D$49+2*($F$51)+$D$52+2*($F$50))/2)*($D$50))-J56</f>
        <v>3.8011235582159606</v>
      </c>
      <c r="L56" s="389">
        <f>ROUND((PI()/4)*M49*M49*2,3)</f>
        <v>0.251</v>
      </c>
      <c r="M56" s="389">
        <f>((PI()*($D$49+2*($F$51))))*($D$51)+(PI()*(($D$49+2*($F$50)+($D$52+2*($F$50)))/2)*($D$50-0.175))-L56</f>
        <v>3.0468868881058855</v>
      </c>
      <c r="N56" s="389">
        <f>ROUND(PI()/4*O49*O49*2,3)</f>
        <v>0.52800000000000002</v>
      </c>
      <c r="O56" s="389">
        <f>((PI()*($D$49+2*($F$51))))*($D$51)+(PI()*(($D$49+2*($F$51)+($D$52+2*($F$50)))/2)*($D$50))-N56</f>
        <v>3.4241235582159599</v>
      </c>
      <c r="P56" s="389">
        <f>ROUND(PI()/4*Q49*Q49*2,3)</f>
        <v>0.88400000000000001</v>
      </c>
      <c r="Q56" s="389">
        <f>((PI()*($D$49+2*($F$51))))*($D$51)+(PI()*(($D$49+2*($F$51)+$D$52+2*($F$50))/2)*($D$50))-P56</f>
        <v>3.0681235582159605</v>
      </c>
      <c r="R56" s="479"/>
      <c r="S56" s="479"/>
      <c r="T56" s="479"/>
      <c r="U56" s="479"/>
      <c r="V56" s="465"/>
      <c r="W56" s="465"/>
      <c r="X56" s="465"/>
      <c r="Y56" s="465"/>
      <c r="Z56" s="465"/>
      <c r="AA56" s="465"/>
      <c r="AB56" s="465"/>
      <c r="AC56" s="465"/>
      <c r="AD56" s="465"/>
      <c r="AE56" s="465"/>
      <c r="AF56" s="465"/>
      <c r="AG56" s="465"/>
      <c r="AH56" s="465"/>
      <c r="AI56" s="141" t="s">
        <v>226</v>
      </c>
      <c r="AK56" s="141" t="s">
        <v>154</v>
      </c>
      <c r="AL56" s="141">
        <v>8244.41</v>
      </c>
      <c r="BA56" s="141">
        <v>8035.83</v>
      </c>
      <c r="BB56" s="141">
        <v>7537.0800000000008</v>
      </c>
    </row>
    <row r="57" spans="1:54" ht="55.5" customHeight="1">
      <c r="A57" s="396"/>
      <c r="B57" s="396"/>
      <c r="C57" s="474" t="str">
        <f>CONCATENATE("Internal Plastering in CM(1:4) of 20 mm thick uniform portion PIx0.90x0.4 and Sloped Portion Pix(0.90+0.56)/2x(.6-.25)  Dedcut Pipe Portion 2xPI()/4x0.23x0.23=",E57)</f>
        <v>Internal Plastering in CM(1:4) of 20 mm thick uniform portion PIx0.90x0.4 and Sloped Portion Pix(0.90+0.56)/2x(.6-.25)  Dedcut Pipe Portion 2xPI()/4x0.23x0.23=1.2777</v>
      </c>
      <c r="D57" s="805" t="s">
        <v>224</v>
      </c>
      <c r="E57" s="489">
        <f t="shared" si="6"/>
        <v>1.2777000000000001</v>
      </c>
      <c r="F57" s="863">
        <f>'Datas P7'!G309</f>
        <v>259.48599999999999</v>
      </c>
      <c r="G57" s="477">
        <f t="shared" si="7"/>
        <v>331.55</v>
      </c>
      <c r="H57" s="851">
        <f>ROUND(PI()*$D$49*I49,3)</f>
        <v>0.65600000000000003</v>
      </c>
      <c r="I57" s="852">
        <f>(PI()*$D$49*$D$51+(PI()*($D$49+$D$52)/2*($D$50-0.25)))-H57</f>
        <v>1.2776502782845176</v>
      </c>
      <c r="J57" s="389">
        <f>ROUND(PI()*$D$49*K49,3)</f>
        <v>0.877</v>
      </c>
      <c r="K57" s="490">
        <f>(PI()*$D$49*$D$51+(PI()*($D$49+$D$52)/2*($D$50-0.175)))-J57</f>
        <v>1.2286524760685589</v>
      </c>
      <c r="L57" s="389">
        <f>ROUND(PI()*$D$49*M49,3)</f>
        <v>1.131</v>
      </c>
      <c r="M57" s="490">
        <f>((PI()*$D$49*$D$51)+(PI()*($D$49+$D$52)/2*($D$50-0.175)))-L57</f>
        <v>0.97465247606855887</v>
      </c>
      <c r="N57" s="389">
        <f>ROUND(PI()*$D$49*O49,3)</f>
        <v>1.64</v>
      </c>
      <c r="O57" s="490">
        <f>(PI()*$D$49*$D$51+(PI()*($D$49+$D$52)/2*($D$50-0.175)))-N57</f>
        <v>0.46565247606855897</v>
      </c>
      <c r="P57" s="389">
        <f>ROUND(PI()*$D$49*Q49,3)</f>
        <v>2.121</v>
      </c>
      <c r="Q57" s="490">
        <f>IF((PI()*$D$49*$D$51+(PI()*($D$49+$D$52)/2*($D$50-0.175)))-P57&gt;0,(PI()*$D$49*$D$51+(PI()*($D$49+$D$52)/2*($D$50-0.175)))-P57,0)</f>
        <v>0</v>
      </c>
      <c r="R57" s="389"/>
      <c r="S57" s="490"/>
      <c r="T57" s="389"/>
      <c r="U57" s="389"/>
      <c r="V57" s="165"/>
      <c r="W57" s="165"/>
      <c r="X57" s="165"/>
      <c r="Y57" s="165"/>
      <c r="Z57" s="165"/>
      <c r="AA57" s="165"/>
      <c r="AB57" s="165"/>
      <c r="AC57" s="165"/>
      <c r="AD57" s="165"/>
      <c r="AE57" s="165"/>
      <c r="AF57" s="165"/>
      <c r="AG57" s="165"/>
      <c r="AH57" s="165"/>
      <c r="AI57" s="141" t="s">
        <v>224</v>
      </c>
      <c r="AJ57" s="141">
        <v>1.2776502782845176</v>
      </c>
      <c r="AK57" s="141">
        <v>253.714</v>
      </c>
      <c r="AL57" s="141">
        <v>324.16000000000003</v>
      </c>
      <c r="AM57" s="141">
        <v>0.65600000000000003</v>
      </c>
      <c r="AN57" s="141">
        <v>1.2776502782845176</v>
      </c>
      <c r="AO57" s="141">
        <v>0.82</v>
      </c>
      <c r="AP57" s="141">
        <v>1.1136502782845179</v>
      </c>
      <c r="AQ57" s="141">
        <v>1.131</v>
      </c>
      <c r="AR57" s="141">
        <v>0.80265027828451774</v>
      </c>
      <c r="AS57" s="141">
        <v>1.64</v>
      </c>
      <c r="AT57" s="141">
        <v>0.46565247606855897</v>
      </c>
      <c r="AU57" s="141">
        <v>2.121</v>
      </c>
      <c r="AV57" s="141">
        <v>0</v>
      </c>
      <c r="BA57" s="141">
        <v>282.55</v>
      </c>
      <c r="BB57" s="141">
        <v>203.64</v>
      </c>
    </row>
    <row r="58" spans="1:54" ht="63.75">
      <c r="A58" s="396"/>
      <c r="B58" s="396"/>
      <c r="C58" s="473" t="str">
        <f>CONCATENATE("CC Channeling with (1:2.5:5) Prop  PIx0.9x0.9x0.10/4 , Below cover= Pix (0.56+0.23)*0.1, over Manhole alround for Cover Pix(0.86+.08)x0.08*0.15= deduct Channel Pi/4x 0.90x0.23x0.23/2=",E58)</f>
        <v>CC Channeling with (1:2.5:5) Prop  PIx0.9x0.9x0.10/4 , Below cover= Pix (0.56+0.23)*0.1, over Manhole alround for Cover Pix(0.86+.08)x0.08*0.15= deduct Channel Pi/4x 0.90x0.23x0.23/2=0.1371</v>
      </c>
      <c r="D58" s="805" t="s">
        <v>109</v>
      </c>
      <c r="E58" s="489">
        <f>ROUND(I58,4)</f>
        <v>0.1371</v>
      </c>
      <c r="F58" s="863">
        <f>'Datas P7'!G258</f>
        <v>6018.18</v>
      </c>
      <c r="G58" s="477">
        <f>+ROUND(E58*F58,2)</f>
        <v>825.09</v>
      </c>
      <c r="H58" s="851">
        <f>ROUND($D$49*((PI()/4)*I49*I49)/2,3)</f>
        <v>1.9E-2</v>
      </c>
      <c r="I58" s="859">
        <f>(((PI()*$D$49^2/4)*0.1)+(PI()*($D$52+$F$50)*$F$50*0.1)+(PI()*(0.86+0.08)*0.08*0.15))-H58</f>
        <v>0.13713715488341274</v>
      </c>
      <c r="J58" s="389">
        <f>ROUND($D$49*(PI()/4)*K49*K49,3)</f>
        <v>6.8000000000000005E-2</v>
      </c>
      <c r="K58" s="389">
        <f>(((PI()*$D$49^2/4)*K49)+(PI()*($D$49+$F$50)*$F$50*0.075)+(PI()*(0.71+0.08)*0.08*0.175))-J58</f>
        <v>0.22519698837790142</v>
      </c>
      <c r="L58" s="389">
        <f>ROUND($D$49*(PI()/4)*M49*M49,3)</f>
        <v>0.113</v>
      </c>
      <c r="M58" s="389">
        <f>(((PI()*$D$49^2/4)*M49)+(PI()*($D$52+$F$51)*$F$51*0.075)+(PI()*(0.71+(2*0.075)+0.08)*0.08*0.1))-L58</f>
        <v>0.20790583558256348</v>
      </c>
      <c r="N58" s="389">
        <f>ROUND($D$49*(PI()/4)*O49*O49,3)</f>
        <v>0.23799999999999999</v>
      </c>
      <c r="O58" s="389">
        <f>(((PI()*$D$49^2/4)*O49)+(PI()*($D$49+$F$50)*$F$50*0.075)+(PI()*(0.71+0.08)*0.08*0.175))-N58</f>
        <v>0.22696356671292334</v>
      </c>
      <c r="P58" s="389">
        <f>ROUND($D$49*(PI()/4)*Q49*Q49,3)</f>
        <v>0.39800000000000002</v>
      </c>
      <c r="Q58" s="389">
        <f>(((PI()*$D$49^2/4)*Q49)+(PI()*($D$49+$F$50)*$F$50*0.075)+(PI()*(0.71+0.08)*0.08*0.175))-P58</f>
        <v>0.17511289381275208</v>
      </c>
      <c r="R58" s="389"/>
      <c r="S58" s="389"/>
      <c r="T58" s="389"/>
      <c r="U58" s="389"/>
      <c r="V58" s="165"/>
      <c r="W58" s="165"/>
      <c r="X58" s="165"/>
      <c r="Y58" s="165"/>
      <c r="Z58" s="165"/>
      <c r="AA58" s="165"/>
      <c r="AB58" s="165"/>
      <c r="AC58" s="165"/>
      <c r="AD58" s="165"/>
      <c r="AE58" s="165"/>
      <c r="AF58" s="165"/>
      <c r="AG58" s="165"/>
      <c r="AH58" s="165"/>
      <c r="AI58" s="141" t="s">
        <v>109</v>
      </c>
      <c r="AJ58" s="141">
        <v>0.13713715488341274</v>
      </c>
      <c r="AK58" s="141">
        <v>5040.1499999999996</v>
      </c>
      <c r="AL58" s="141">
        <v>691.19</v>
      </c>
      <c r="AM58" s="141">
        <v>1.9E-2</v>
      </c>
      <c r="AN58" s="141">
        <v>0.13713715488341274</v>
      </c>
      <c r="AO58" s="141">
        <v>0.03</v>
      </c>
      <c r="AP58" s="141">
        <v>0.12613715488341273</v>
      </c>
      <c r="AQ58" s="141">
        <v>5.7000000000000002E-2</v>
      </c>
      <c r="AR58" s="141">
        <v>9.9137154883412737E-2</v>
      </c>
      <c r="AS58" s="141">
        <v>0.23799999999999999</v>
      </c>
      <c r="AT58" s="141">
        <v>0.22696356671292334</v>
      </c>
      <c r="AU58" s="141">
        <v>0.39800000000000002</v>
      </c>
      <c r="AV58" s="141">
        <v>0.17511289381275208</v>
      </c>
      <c r="BA58" s="141">
        <v>635.75</v>
      </c>
      <c r="BB58" s="141">
        <v>499.67</v>
      </c>
    </row>
    <row r="59" spans="1:54">
      <c r="A59" s="396" t="s">
        <v>128</v>
      </c>
      <c r="B59" s="396"/>
      <c r="C59" s="473" t="s">
        <v>225</v>
      </c>
      <c r="D59" s="338" t="s">
        <v>226</v>
      </c>
      <c r="E59" s="399">
        <v>2</v>
      </c>
      <c r="F59" s="863">
        <v>81</v>
      </c>
      <c r="G59" s="477">
        <f t="shared" si="7"/>
        <v>162</v>
      </c>
      <c r="H59" s="856"/>
      <c r="I59" s="851"/>
      <c r="J59" s="389"/>
      <c r="K59" s="389"/>
      <c r="L59" s="389"/>
      <c r="M59" s="389"/>
      <c r="N59" s="389"/>
      <c r="O59" s="389"/>
      <c r="P59" s="389"/>
      <c r="Q59" s="389"/>
      <c r="R59" s="540"/>
      <c r="S59" s="540"/>
      <c r="T59" s="540"/>
      <c r="U59" s="540"/>
      <c r="AI59" s="141" t="s">
        <v>226</v>
      </c>
      <c r="AJ59" s="141">
        <v>2</v>
      </c>
      <c r="AK59" s="141">
        <v>81</v>
      </c>
      <c r="AL59" s="141">
        <v>162</v>
      </c>
      <c r="BA59" s="141">
        <v>162</v>
      </c>
      <c r="BB59" s="141">
        <v>162</v>
      </c>
    </row>
    <row r="60" spans="1:54">
      <c r="A60" s="708"/>
      <c r="B60" s="397"/>
      <c r="C60" s="480" t="s">
        <v>106</v>
      </c>
      <c r="D60" s="338" t="s">
        <v>226</v>
      </c>
      <c r="E60" s="399"/>
      <c r="F60" s="472" t="s">
        <v>154</v>
      </c>
      <c r="G60" s="865">
        <f>SUM(G53:G59)</f>
        <v>8246.7799999999988</v>
      </c>
      <c r="H60" s="860"/>
      <c r="I60" s="851"/>
      <c r="J60" s="389"/>
      <c r="K60" s="389"/>
      <c r="L60" s="389"/>
      <c r="M60" s="389"/>
      <c r="N60" s="389"/>
      <c r="O60" s="389"/>
      <c r="P60" s="389"/>
      <c r="Q60" s="389"/>
      <c r="R60" s="540"/>
      <c r="S60" s="540"/>
      <c r="T60" s="540"/>
      <c r="U60" s="540"/>
      <c r="AI60" s="141" t="s">
        <v>226</v>
      </c>
      <c r="AK60" s="141" t="s">
        <v>154</v>
      </c>
      <c r="AL60" s="141">
        <v>8244.41</v>
      </c>
      <c r="BA60" s="141">
        <v>8035.83</v>
      </c>
      <c r="BB60" s="141">
        <v>7537.0800000000008</v>
      </c>
    </row>
    <row r="61" spans="1:54" s="197" customFormat="1">
      <c r="A61" s="386"/>
      <c r="B61" s="386"/>
      <c r="C61" s="481" t="s">
        <v>319</v>
      </c>
      <c r="D61" s="388"/>
      <c r="E61" s="387"/>
      <c r="F61" s="475"/>
      <c r="G61" s="482"/>
      <c r="H61" s="861"/>
      <c r="I61" s="850"/>
      <c r="J61" s="384"/>
      <c r="K61" s="384"/>
      <c r="L61" s="384"/>
      <c r="M61" s="384"/>
      <c r="N61" s="384"/>
      <c r="O61" s="384"/>
      <c r="P61" s="384"/>
      <c r="Q61" s="384"/>
      <c r="R61" s="657"/>
      <c r="S61" s="657"/>
      <c r="T61" s="657"/>
      <c r="U61" s="657"/>
    </row>
    <row r="62" spans="1:54" s="197" customFormat="1">
      <c r="A62" s="386">
        <v>9</v>
      </c>
      <c r="B62" s="386"/>
      <c r="C62" s="481" t="s">
        <v>320</v>
      </c>
      <c r="D62" s="388" t="s">
        <v>109</v>
      </c>
      <c r="E62" s="483">
        <f>ROUND(E53*0.9+E58*0.9,2)</f>
        <v>0.42</v>
      </c>
      <c r="F62" s="475">
        <v>97.5</v>
      </c>
      <c r="G62" s="475">
        <v>0</v>
      </c>
      <c r="H62" s="850"/>
      <c r="I62" s="862">
        <f>ROUND(I53*0.9+I58*0.9,2)</f>
        <v>0.42</v>
      </c>
      <c r="J62" s="483"/>
      <c r="K62" s="483">
        <f>ROUND(K53*0.9+K58*0.9,2)</f>
        <v>0.49</v>
      </c>
      <c r="L62" s="384"/>
      <c r="M62" s="483">
        <f>ROUND(M53*0.9+M58*0.9,2)</f>
        <v>0.48</v>
      </c>
      <c r="N62" s="384"/>
      <c r="O62" s="483"/>
      <c r="P62" s="384"/>
      <c r="Q62" s="483"/>
      <c r="R62" s="657"/>
      <c r="S62" s="657"/>
      <c r="T62" s="657"/>
      <c r="U62" s="657"/>
      <c r="AI62" s="197" t="s">
        <v>109</v>
      </c>
      <c r="AJ62" s="197">
        <v>0.42</v>
      </c>
      <c r="AK62" s="197">
        <v>97.5</v>
      </c>
      <c r="AL62" s="197">
        <v>0</v>
      </c>
      <c r="AN62" s="197">
        <v>0.42</v>
      </c>
      <c r="AP62" s="197">
        <v>0.41</v>
      </c>
      <c r="AR62" s="197">
        <v>0.38</v>
      </c>
    </row>
    <row r="63" spans="1:54" s="197" customFormat="1">
      <c r="A63" s="386"/>
      <c r="B63" s="386"/>
      <c r="C63" s="481" t="s">
        <v>321</v>
      </c>
      <c r="D63" s="388" t="s">
        <v>109</v>
      </c>
      <c r="E63" s="483">
        <f>ROUND((E54+E55)*0.2+(E56*0.015+E57*0.021)+(E53+E58)*0.45,2)</f>
        <v>0.39</v>
      </c>
      <c r="F63" s="475">
        <v>40</v>
      </c>
      <c r="G63" s="475">
        <v>0</v>
      </c>
      <c r="H63" s="850"/>
      <c r="I63" s="862">
        <f>ROUND((I54+I55)*0.2+(I56*0.015+I57*0.021)+(I53+I58)*0.45,2)</f>
        <v>0.39</v>
      </c>
      <c r="J63" s="483"/>
      <c r="K63" s="483">
        <f>ROUND((K54+K55)*0.2+(K56*0.015+K57*0.021)+(K53+K58)*0.45,2)</f>
        <v>0.44</v>
      </c>
      <c r="L63" s="384"/>
      <c r="M63" s="483">
        <f>ROUND((M54+M55)*0.2+(M56*0.015+M57*0.021)+(M53+M58)*0.45,2)</f>
        <v>0.42</v>
      </c>
      <c r="N63" s="384"/>
      <c r="O63" s="483"/>
      <c r="P63" s="384"/>
      <c r="Q63" s="483"/>
      <c r="R63" s="657"/>
      <c r="S63" s="657"/>
      <c r="T63" s="657"/>
      <c r="U63" s="657"/>
      <c r="AI63" s="197" t="s">
        <v>109</v>
      </c>
      <c r="AJ63" s="197">
        <v>0.39</v>
      </c>
      <c r="AK63" s="197">
        <v>40</v>
      </c>
      <c r="AL63" s="197">
        <v>0</v>
      </c>
      <c r="AN63" s="197">
        <v>0.39</v>
      </c>
      <c r="AP63" s="197">
        <v>0.38</v>
      </c>
      <c r="AR63" s="197">
        <v>0.35</v>
      </c>
    </row>
    <row r="64" spans="1:54" s="197" customFormat="1">
      <c r="A64" s="386"/>
      <c r="B64" s="386"/>
      <c r="C64" s="481" t="s">
        <v>273</v>
      </c>
      <c r="D64" s="388"/>
      <c r="E64" s="387"/>
      <c r="F64" s="475" t="s">
        <v>154</v>
      </c>
      <c r="G64" s="870">
        <f>SUM(G60:G63)</f>
        <v>8246.7799999999988</v>
      </c>
      <c r="H64" s="384"/>
      <c r="I64" s="387"/>
      <c r="J64" s="387"/>
      <c r="K64" s="387"/>
      <c r="L64" s="384"/>
      <c r="M64" s="387"/>
      <c r="N64" s="384"/>
      <c r="O64" s="387"/>
      <c r="P64" s="384"/>
      <c r="Q64" s="387"/>
      <c r="R64" s="657"/>
      <c r="S64" s="657"/>
      <c r="T64" s="657"/>
      <c r="U64" s="657"/>
      <c r="AK64" s="197" t="s">
        <v>154</v>
      </c>
      <c r="AL64" s="197">
        <v>8244.41</v>
      </c>
    </row>
    <row r="65" spans="1:55" s="197" customFormat="1">
      <c r="A65" s="386"/>
      <c r="B65" s="386"/>
      <c r="C65" s="481"/>
      <c r="D65" s="388"/>
      <c r="E65" s="387"/>
      <c r="F65" s="475"/>
      <c r="G65" s="870"/>
      <c r="H65" s="384"/>
      <c r="I65" s="387"/>
      <c r="J65" s="387"/>
      <c r="K65" s="387"/>
      <c r="L65" s="384"/>
      <c r="M65" s="387"/>
      <c r="N65" s="384"/>
      <c r="O65" s="387"/>
      <c r="P65" s="384"/>
      <c r="Q65" s="387"/>
      <c r="R65" s="657"/>
      <c r="S65" s="657"/>
      <c r="T65" s="657"/>
      <c r="U65" s="657"/>
    </row>
    <row r="66" spans="1:55" ht="171.75" customHeight="1">
      <c r="A66" s="396"/>
      <c r="B66" s="605">
        <v>1</v>
      </c>
      <c r="C66" s="864" t="s">
        <v>1235</v>
      </c>
      <c r="D66" s="338"/>
      <c r="E66" s="399"/>
      <c r="F66" s="472"/>
      <c r="G66" s="414"/>
      <c r="H66" s="1606" t="s">
        <v>446</v>
      </c>
      <c r="I66" s="1607"/>
      <c r="J66" s="1600" t="s">
        <v>440</v>
      </c>
      <c r="K66" s="1601"/>
      <c r="L66" s="1602" t="s">
        <v>439</v>
      </c>
      <c r="M66" s="1605"/>
      <c r="N66" s="1600" t="s">
        <v>717</v>
      </c>
      <c r="O66" s="1601"/>
      <c r="P66" s="1600" t="s">
        <v>718</v>
      </c>
      <c r="Q66" s="1601"/>
      <c r="R66" s="1600"/>
      <c r="S66" s="1601"/>
      <c r="T66" s="1600"/>
      <c r="U66" s="1601"/>
      <c r="V66" s="966"/>
      <c r="W66" s="966"/>
      <c r="X66" s="966"/>
      <c r="Y66" s="966"/>
      <c r="Z66" s="966"/>
      <c r="AA66" s="966"/>
      <c r="AB66" s="966"/>
      <c r="AC66" s="966"/>
      <c r="AD66" s="966"/>
      <c r="AE66" s="966"/>
      <c r="AF66" s="966"/>
      <c r="AG66" s="966"/>
      <c r="AH66" s="966"/>
      <c r="AI66" s="141" t="s">
        <v>1235</v>
      </c>
      <c r="AN66" s="141" t="s">
        <v>1104</v>
      </c>
      <c r="AP66" s="141" t="s">
        <v>1105</v>
      </c>
      <c r="AR66" s="141" t="s">
        <v>439</v>
      </c>
      <c r="AT66" s="141" t="s">
        <v>717</v>
      </c>
      <c r="AV66" s="141" t="s">
        <v>718</v>
      </c>
      <c r="BB66" s="141" t="s">
        <v>1105</v>
      </c>
      <c r="BC66" s="141" t="s">
        <v>439</v>
      </c>
    </row>
    <row r="67" spans="1:55">
      <c r="A67" s="396"/>
      <c r="B67" s="605"/>
      <c r="C67" s="474" t="s">
        <v>857</v>
      </c>
      <c r="D67" s="338">
        <v>0.9</v>
      </c>
      <c r="E67" s="399" t="s">
        <v>862</v>
      </c>
      <c r="F67" s="472">
        <v>0.15</v>
      </c>
      <c r="G67" s="414"/>
      <c r="H67" s="854" t="s">
        <v>856</v>
      </c>
      <c r="I67" s="855">
        <f>0.2+(2*0.016)</f>
        <v>0.23200000000000001</v>
      </c>
      <c r="J67" s="603" t="s">
        <v>856</v>
      </c>
      <c r="K67" s="604">
        <v>0.31</v>
      </c>
      <c r="L67" s="603" t="s">
        <v>856</v>
      </c>
      <c r="M67" s="604">
        <v>0.4</v>
      </c>
      <c r="N67" s="603" t="s">
        <v>856</v>
      </c>
      <c r="O67" s="604">
        <v>0.57999999999999996</v>
      </c>
      <c r="P67" s="603" t="s">
        <v>856</v>
      </c>
      <c r="Q67" s="604">
        <v>0.75</v>
      </c>
      <c r="R67" s="886"/>
      <c r="S67" s="887"/>
      <c r="T67" s="886"/>
      <c r="U67" s="887"/>
      <c r="V67" s="966"/>
      <c r="W67" s="966"/>
      <c r="X67" s="966"/>
      <c r="Y67" s="966"/>
      <c r="Z67" s="966"/>
      <c r="AA67" s="966"/>
      <c r="AB67" s="966"/>
      <c r="AC67" s="966"/>
      <c r="AD67" s="966"/>
      <c r="AE67" s="966"/>
      <c r="AF67" s="966"/>
      <c r="AG67" s="966"/>
      <c r="AH67" s="966"/>
      <c r="AI67" s="141" t="s">
        <v>857</v>
      </c>
      <c r="AJ67" s="141">
        <v>0.9</v>
      </c>
      <c r="AK67" s="141" t="s">
        <v>862</v>
      </c>
      <c r="AL67" s="141">
        <v>0.15</v>
      </c>
      <c r="AN67" s="141" t="s">
        <v>856</v>
      </c>
      <c r="AO67" s="141">
        <v>0.23200000000000001</v>
      </c>
      <c r="AP67" s="141" t="s">
        <v>856</v>
      </c>
      <c r="AQ67" s="141">
        <v>0.28999999999999998</v>
      </c>
      <c r="AR67" s="141" t="s">
        <v>856</v>
      </c>
      <c r="AS67" s="141">
        <v>0.4</v>
      </c>
      <c r="AT67" s="141" t="s">
        <v>856</v>
      </c>
      <c r="AU67" s="141">
        <v>0.57999999999999996</v>
      </c>
      <c r="AV67" s="141" t="s">
        <v>856</v>
      </c>
      <c r="AW67" s="141">
        <v>0.75</v>
      </c>
    </row>
    <row r="68" spans="1:55">
      <c r="A68" s="396"/>
      <c r="B68" s="605"/>
      <c r="C68" s="474" t="s">
        <v>858</v>
      </c>
      <c r="D68" s="338">
        <v>0.6</v>
      </c>
      <c r="E68" s="399" t="s">
        <v>859</v>
      </c>
      <c r="F68" s="472">
        <v>0.23</v>
      </c>
      <c r="G68" s="414"/>
      <c r="H68" s="854"/>
      <c r="I68" s="854"/>
      <c r="J68" s="603"/>
      <c r="K68" s="604"/>
      <c r="L68" s="603"/>
      <c r="M68" s="604"/>
      <c r="N68" s="603"/>
      <c r="O68" s="604"/>
      <c r="P68" s="603"/>
      <c r="Q68" s="604"/>
      <c r="R68" s="886"/>
      <c r="S68" s="887"/>
      <c r="T68" s="886"/>
      <c r="U68" s="887"/>
      <c r="V68" s="966"/>
      <c r="W68" s="966"/>
      <c r="X68" s="966"/>
      <c r="Y68" s="966"/>
      <c r="Z68" s="966"/>
      <c r="AA68" s="966"/>
      <c r="AB68" s="966"/>
      <c r="AC68" s="966"/>
      <c r="AD68" s="966"/>
      <c r="AE68" s="966"/>
      <c r="AF68" s="966"/>
      <c r="AG68" s="966"/>
      <c r="AH68" s="966"/>
      <c r="AI68" s="141" t="s">
        <v>858</v>
      </c>
      <c r="AJ68" s="141">
        <v>0.6</v>
      </c>
      <c r="AK68" s="141" t="s">
        <v>859</v>
      </c>
      <c r="AL68" s="141">
        <v>0.23</v>
      </c>
    </row>
    <row r="69" spans="1:55">
      <c r="A69" s="396"/>
      <c r="B69" s="605"/>
      <c r="C69" s="474" t="s">
        <v>860</v>
      </c>
      <c r="D69" s="338">
        <v>0.4</v>
      </c>
      <c r="E69" s="399" t="s">
        <v>861</v>
      </c>
      <c r="F69" s="472">
        <v>0.23</v>
      </c>
      <c r="G69" s="414"/>
      <c r="H69" s="854"/>
      <c r="I69" s="854"/>
      <c r="J69" s="603"/>
      <c r="K69" s="604"/>
      <c r="L69" s="603"/>
      <c r="M69" s="604"/>
      <c r="N69" s="603"/>
      <c r="O69" s="604"/>
      <c r="P69" s="603"/>
      <c r="Q69" s="604"/>
      <c r="R69" s="886"/>
      <c r="S69" s="887"/>
      <c r="T69" s="886"/>
      <c r="U69" s="887"/>
      <c r="V69" s="966"/>
      <c r="W69" s="966"/>
      <c r="X69" s="966"/>
      <c r="Y69" s="966"/>
      <c r="Z69" s="966"/>
      <c r="AA69" s="966"/>
      <c r="AB69" s="966"/>
      <c r="AC69" s="966"/>
      <c r="AD69" s="966"/>
      <c r="AE69" s="966"/>
      <c r="AF69" s="966"/>
      <c r="AG69" s="966"/>
      <c r="AH69" s="966"/>
      <c r="AI69" s="141" t="s">
        <v>860</v>
      </c>
      <c r="AJ69" s="141">
        <v>0.4</v>
      </c>
      <c r="AK69" s="141" t="s">
        <v>861</v>
      </c>
      <c r="AL69" s="141">
        <v>0.23</v>
      </c>
    </row>
    <row r="70" spans="1:55">
      <c r="A70" s="396"/>
      <c r="B70" s="605"/>
      <c r="C70" s="474" t="s">
        <v>863</v>
      </c>
      <c r="D70" s="338">
        <v>0.56000000000000005</v>
      </c>
      <c r="E70" s="399"/>
      <c r="F70" s="472"/>
      <c r="G70" s="414"/>
      <c r="H70" s="854"/>
      <c r="I70" s="854"/>
      <c r="J70" s="603"/>
      <c r="K70" s="604"/>
      <c r="L70" s="603"/>
      <c r="M70" s="604"/>
      <c r="N70" s="603"/>
      <c r="O70" s="604"/>
      <c r="P70" s="603"/>
      <c r="Q70" s="604"/>
      <c r="R70" s="886"/>
      <c r="S70" s="887"/>
      <c r="T70" s="886"/>
      <c r="U70" s="887"/>
      <c r="V70" s="966"/>
      <c r="W70" s="966"/>
      <c r="X70" s="966"/>
      <c r="Y70" s="966"/>
      <c r="Z70" s="966"/>
      <c r="AA70" s="966"/>
      <c r="AB70" s="966"/>
      <c r="AC70" s="966"/>
      <c r="AD70" s="966"/>
      <c r="AE70" s="966"/>
      <c r="AF70" s="966"/>
      <c r="AG70" s="966"/>
      <c r="AH70" s="966"/>
      <c r="AI70" s="141" t="s">
        <v>863</v>
      </c>
      <c r="AJ70" s="141">
        <v>0.56000000000000005</v>
      </c>
      <c r="BB70" s="141" t="s">
        <v>1106</v>
      </c>
      <c r="BC70" s="141" t="s">
        <v>1107</v>
      </c>
    </row>
    <row r="71" spans="1:55">
      <c r="A71" s="396"/>
      <c r="B71" s="396"/>
      <c r="C71" s="474" t="str">
        <f>CONCATENATE("CC in CM( 1:4:8) PI/4x(0.9+0.46+0.3)x0.15=",E71)</f>
        <v>CC in CM( 1:4:8) PI/4x(0.9+0.46+0.3)x0.15=0.325</v>
      </c>
      <c r="D71" s="805" t="s">
        <v>109</v>
      </c>
      <c r="E71" s="489">
        <f>ROUND(M71,3)</f>
        <v>0.32500000000000001</v>
      </c>
      <c r="F71" s="863">
        <f>F53</f>
        <v>5383.2900000000009</v>
      </c>
      <c r="G71" s="477">
        <f>+ROUND(E71*F71,2)</f>
        <v>1749.57</v>
      </c>
      <c r="H71" s="856"/>
      <c r="I71" s="856">
        <f>(PI()/4)*(($D$49+(2*$F$51))+0.3)^2*$F$49</f>
        <v>0.32463647685870128</v>
      </c>
      <c r="J71" s="477"/>
      <c r="K71" s="822">
        <f>(PI()/4)*(($D$49+(2*$F$51))+0.3)^2*$F$49</f>
        <v>0.32463647685870128</v>
      </c>
      <c r="L71" s="477"/>
      <c r="M71" s="822">
        <f>(PI()/4)*(($D$49+(2*$F$51))+0.3)^2*$F$49</f>
        <v>0.32463647685870128</v>
      </c>
      <c r="N71" s="477"/>
      <c r="O71" s="822">
        <f>(PI()/4)*(($D$49+(2*$F$51))+0.3)^2*$F$49</f>
        <v>0.32463647685870128</v>
      </c>
      <c r="P71" s="822"/>
      <c r="Q71" s="822">
        <f>(PI()/4)*(($D$49+(2*$F$51))+0.3)^2*$F$49</f>
        <v>0.32463647685870128</v>
      </c>
      <c r="R71" s="389"/>
      <c r="S71" s="389"/>
      <c r="T71" s="389"/>
      <c r="U71" s="389"/>
      <c r="V71" s="165"/>
      <c r="W71" s="165"/>
      <c r="X71" s="165"/>
      <c r="Y71" s="165"/>
      <c r="Z71" s="165"/>
      <c r="AA71" s="165"/>
      <c r="AB71" s="165"/>
      <c r="AC71" s="165"/>
      <c r="AD71" s="165"/>
      <c r="AE71" s="165"/>
      <c r="AF71" s="165"/>
      <c r="AG71" s="165"/>
      <c r="AH71" s="165"/>
      <c r="AI71" s="141" t="s">
        <v>1108</v>
      </c>
      <c r="AJ71" s="141" t="s">
        <v>109</v>
      </c>
      <c r="AK71" s="141">
        <v>0.32463647685870128</v>
      </c>
      <c r="AL71" s="141">
        <v>4283.59</v>
      </c>
      <c r="AM71" s="141">
        <v>1390.61</v>
      </c>
      <c r="AO71" s="141">
        <v>0.32463647685870128</v>
      </c>
      <c r="AQ71" s="141">
        <v>0.32463647685870128</v>
      </c>
      <c r="AS71" s="141">
        <v>0.32463647685870128</v>
      </c>
      <c r="AU71" s="141">
        <v>0.32463647685870128</v>
      </c>
      <c r="AW71" s="141">
        <v>0.32463647685870128</v>
      </c>
      <c r="BB71" s="141">
        <v>1390.61</v>
      </c>
      <c r="BC71" s="141">
        <v>1390.61</v>
      </c>
    </row>
    <row r="72" spans="1:55" ht="38.25">
      <c r="A72" s="396"/>
      <c r="B72" s="396"/>
      <c r="C72" s="474" t="str">
        <f>CONCATENATE("2nd Class Brick Masonory in cm (1: 6) Prop using 2nd class bricks for Uniform Section( PIx1.13x0.23x0.4)-(PI/4*0.4*0.4*.23*2)=",E72)</f>
        <v>2nd Class Brick Masonory in cm (1: 6) Prop using 2nd class bricks for Uniform Section( PIx1.13x0.23x0.4)-(PI/4*0.4*0.4*.23*2)=0.269</v>
      </c>
      <c r="D72" s="805" t="s">
        <v>109</v>
      </c>
      <c r="E72" s="489">
        <f t="shared" ref="E72:E76" si="8">ROUND(M72,3)</f>
        <v>0.26900000000000002</v>
      </c>
      <c r="F72" s="863">
        <f t="shared" ref="F72:F77" si="9">F54</f>
        <v>8504.4699999999993</v>
      </c>
      <c r="G72" s="477">
        <f t="shared" ref="G72:G75" si="10">+ROUND(E72*F72,2)</f>
        <v>2287.6999999999998</v>
      </c>
      <c r="H72" s="857">
        <f>ROUND(PI()/4*I67*I67*$F$51*2,3)</f>
        <v>1.9E-2</v>
      </c>
      <c r="I72" s="858">
        <f>(PI()*($D$49+$F$51)*$F$51*$D$51)-H72</f>
        <v>0.30759997226719493</v>
      </c>
      <c r="J72" s="479">
        <f>ROUND(PI()/4*K67*K67*$F$51*2,3)</f>
        <v>3.5000000000000003E-2</v>
      </c>
      <c r="K72" s="479">
        <f>(PI()*($D$49+$F$51)*$F$51*$D$51)-J72</f>
        <v>0.29159997226719492</v>
      </c>
      <c r="L72" s="479">
        <f>ROUND((PI()/4)*M67*M67*$F$51*2,3)</f>
        <v>5.8000000000000003E-2</v>
      </c>
      <c r="M72" s="479">
        <f>(PI()*($D$49+$F$51)*$F$51*$D$51)-L72</f>
        <v>0.26859997226719495</v>
      </c>
      <c r="N72" s="479">
        <f>ROUND(PI()/4*O67*O67*$F$51*2,3)</f>
        <v>0.122</v>
      </c>
      <c r="O72" s="479">
        <f>(PI()*($D$49+$F$51)*$F$51*$D$51)-N72</f>
        <v>0.20459997226719495</v>
      </c>
      <c r="P72" s="479">
        <f>ROUND(PI()/4*Q67*Q67*$F$51*2,3)</f>
        <v>0.20300000000000001</v>
      </c>
      <c r="Q72" s="479">
        <f>(PI()*($D$49+$F$51)*$F$51*$D$51)-P72</f>
        <v>0.12359997226719494</v>
      </c>
      <c r="R72" s="479"/>
      <c r="S72" s="479"/>
      <c r="T72" s="479"/>
      <c r="U72" s="479"/>
      <c r="V72" s="465"/>
      <c r="W72" s="465"/>
      <c r="X72" s="465"/>
      <c r="Y72" s="465"/>
      <c r="Z72" s="465"/>
      <c r="AA72" s="465"/>
      <c r="AB72" s="465"/>
      <c r="AC72" s="465"/>
      <c r="AD72" s="465"/>
      <c r="AE72" s="465"/>
      <c r="AF72" s="465"/>
      <c r="AG72" s="465"/>
      <c r="AH72" s="465"/>
      <c r="AI72" s="141" t="s">
        <v>1236</v>
      </c>
      <c r="AJ72" s="141" t="s">
        <v>109</v>
      </c>
      <c r="AK72" s="141">
        <v>0.30759997226719493</v>
      </c>
      <c r="AL72" s="141">
        <v>9426.75</v>
      </c>
      <c r="AM72" s="141">
        <v>2899.67</v>
      </c>
      <c r="AN72" s="141">
        <v>1.9E-2</v>
      </c>
      <c r="AO72" s="141">
        <v>0.30759997226719493</v>
      </c>
      <c r="AP72" s="141">
        <v>0.03</v>
      </c>
      <c r="AQ72" s="141">
        <v>0.29659997226719492</v>
      </c>
      <c r="AR72" s="141">
        <v>5.8000000000000003E-2</v>
      </c>
      <c r="AS72" s="141">
        <v>0.26859997226719495</v>
      </c>
      <c r="AT72" s="141">
        <v>0.122</v>
      </c>
      <c r="AU72" s="141">
        <v>0.20459997226719495</v>
      </c>
      <c r="AV72" s="141">
        <v>0.20300000000000001</v>
      </c>
      <c r="AW72" s="141">
        <v>0.12359997226719494</v>
      </c>
      <c r="BB72" s="141">
        <v>2795.97</v>
      </c>
      <c r="BC72" s="141">
        <v>2532.02</v>
      </c>
    </row>
    <row r="73" spans="1:55" ht="38.25">
      <c r="A73" s="396"/>
      <c r="B73" s="396"/>
      <c r="C73" s="474" t="str">
        <f>CONCATENATE("2nd Class Brick Masonory work  in cm (1: 6) )Prop using 2nd class bricks for Carbelling Portion Pix(1.13+0.78)/2x0.23x(0.6-.25)=",E73)</f>
        <v>2nd Class Brick Masonory work  in cm (1: 6) )Prop using 2nd class bricks for Carbelling Portion Pix(1.13+0.78)/2x0.23x(0.6-.25)=0.243</v>
      </c>
      <c r="D73" s="805" t="s">
        <v>109</v>
      </c>
      <c r="E73" s="489">
        <f t="shared" si="8"/>
        <v>0.24299999999999999</v>
      </c>
      <c r="F73" s="863">
        <f t="shared" si="9"/>
        <v>8504.4699999999993</v>
      </c>
      <c r="G73" s="477">
        <f t="shared" si="10"/>
        <v>2066.59</v>
      </c>
      <c r="H73" s="851"/>
      <c r="I73" s="851">
        <f>(PI()*(($D$49+$F$50+$D$52+$F$50)/2)*$F$50)*($D$50-0.25)</f>
        <v>0.24278228026941923</v>
      </c>
      <c r="J73" s="389"/>
      <c r="K73" s="389">
        <f>(PI()*(($D$49+$F$50+$D$52+$F$50)/2)*$F$50)*($D$50-0.25)</f>
        <v>0.24278228026941923</v>
      </c>
      <c r="L73" s="493"/>
      <c r="M73" s="389">
        <f>(PI()*(($D$49+$F$50+($D$52+$F$50))/2)*$F$50)*($D$50-0.25)</f>
        <v>0.24278228026941923</v>
      </c>
      <c r="N73" s="389"/>
      <c r="O73" s="389">
        <f>(PI()*(($D$49+$F$50+$D$52+$F$50)/2)*$F$50)*($D$50-0.175)</f>
        <v>0.29480705461286622</v>
      </c>
      <c r="P73" s="389"/>
      <c r="Q73" s="389">
        <f>(PI()*(($D$49+$F$50+$D$52+$F$50)/2)*$F$50)*($D$50-0.25)</f>
        <v>0.24278228026941923</v>
      </c>
      <c r="R73" s="389"/>
      <c r="S73" s="389"/>
      <c r="T73" s="389"/>
      <c r="U73" s="389"/>
      <c r="V73" s="165"/>
      <c r="W73" s="165"/>
      <c r="X73" s="165"/>
      <c r="Y73" s="165"/>
      <c r="Z73" s="165"/>
      <c r="AA73" s="165"/>
      <c r="AB73" s="165"/>
      <c r="AC73" s="165"/>
      <c r="AD73" s="165"/>
      <c r="AE73" s="165"/>
      <c r="AF73" s="165"/>
      <c r="AG73" s="165"/>
      <c r="AH73" s="165"/>
      <c r="AI73" s="141" t="s">
        <v>1237</v>
      </c>
      <c r="AJ73" s="141" t="s">
        <v>109</v>
      </c>
      <c r="AK73" s="141">
        <v>0.24278228026941923</v>
      </c>
      <c r="AL73" s="141">
        <v>9426.75</v>
      </c>
      <c r="AM73" s="141">
        <v>2288.65</v>
      </c>
      <c r="AO73" s="141">
        <v>0.24278228026941923</v>
      </c>
      <c r="AQ73" s="141">
        <v>0.24278228026941923</v>
      </c>
      <c r="AS73" s="141">
        <v>0.24278228026941923</v>
      </c>
      <c r="AU73" s="141">
        <v>0.29480705461286622</v>
      </c>
      <c r="AW73" s="141">
        <v>0.24278228026941923</v>
      </c>
      <c r="BB73" s="141">
        <v>2288.65</v>
      </c>
      <c r="BC73" s="141">
        <v>2288.65</v>
      </c>
    </row>
    <row r="74" spans="1:55" ht="51">
      <c r="A74" s="396"/>
      <c r="B74" s="396"/>
      <c r="C74" s="970" t="str">
        <f>CONCATENATE("External Plastering in CM(1:4) of 12 mm thick vertical portion Pix(.9+.23*2)x0.40 and sloped portion Pix(1.36+1.01)/2x(0.6-.25)  Dedcut Pipe Portion 2xPI()/4x0.4x0.4=",E74)</f>
        <v>External Plastering in CM(1:4) of 12 mm thick vertical portion Pix(.9+.23*2)x0.40 and sloped portion Pix(1.36+1.01)/2x(0.6-.25)  Dedcut Pipe Portion 2xPI()/4x0.4x0.4=2.766</v>
      </c>
      <c r="D74" s="805" t="s">
        <v>224</v>
      </c>
      <c r="E74" s="489">
        <f t="shared" si="8"/>
        <v>2.766</v>
      </c>
      <c r="F74" s="863">
        <f t="shared" si="9"/>
        <v>170.45499999999998</v>
      </c>
      <c r="G74" s="477">
        <f t="shared" si="10"/>
        <v>471.48</v>
      </c>
      <c r="H74" s="851">
        <f>ROUND(PI()/4*I67*I67*2,3)</f>
        <v>8.5000000000000006E-2</v>
      </c>
      <c r="I74" s="859">
        <f>((PI()*($D$49+2*($F$51))))*($D$51)+(PI()*(($D$49+2*($F$51)+$D$52+2*($F$50))/2)*($D$50-0.25))-H74</f>
        <v>2.9324997437729969</v>
      </c>
      <c r="J74" s="389">
        <f>ROUND(PI()/4*K67*K67*2,3)</f>
        <v>0.151</v>
      </c>
      <c r="K74" s="389">
        <f>((PI()*($D$49+2*($F$51))))*($D$51)+(PI()*(($D$49+2*($F$51)+$D$52+2*($F$50))/2)*($D$50))-J74</f>
        <v>3.8011235582159606</v>
      </c>
      <c r="L74" s="389">
        <f>ROUND((PI()/4)*M67*M67*2,3)</f>
        <v>0.251</v>
      </c>
      <c r="M74" s="389">
        <f>((PI()*($D$49+2*($F$51))))*($D$51)+(PI()*(($D$49+2*($F$50)+($D$52+2*($F$50)))/2)*($D$50-0.25))-L74</f>
        <v>2.7664997437729966</v>
      </c>
      <c r="N74" s="389">
        <f>ROUND(PI()/4*O67*O67*2,3)</f>
        <v>0.52800000000000002</v>
      </c>
      <c r="O74" s="389">
        <f>((PI()*($D$49+2*($F$51))))*($D$51)+(PI()*(($D$49+2*($F$51)+($D$52+2*($F$50)))/2)*($D$50))-N74</f>
        <v>3.4241235582159599</v>
      </c>
      <c r="P74" s="389">
        <f>ROUND(PI()/4*Q67*Q67*2,3)</f>
        <v>0.88400000000000001</v>
      </c>
      <c r="Q74" s="389">
        <f>((PI()*($D$49+2*($F$51))))*($D$51)+(PI()*(($D$49+2*($F$51)+$D$52+2*($F$50))/2)*($D$50))-P74</f>
        <v>3.0681235582159605</v>
      </c>
      <c r="R74" s="479"/>
      <c r="S74" s="479"/>
      <c r="T74" s="479"/>
      <c r="U74" s="479"/>
      <c r="V74" s="465"/>
      <c r="W74" s="465"/>
      <c r="X74" s="465"/>
      <c r="Y74" s="465"/>
      <c r="Z74" s="465"/>
      <c r="AA74" s="465"/>
      <c r="AB74" s="465"/>
      <c r="AC74" s="465"/>
      <c r="AD74" s="465"/>
      <c r="AE74" s="465"/>
      <c r="AF74" s="465"/>
      <c r="AG74" s="465"/>
      <c r="AH74" s="465"/>
      <c r="AI74" s="141" t="s">
        <v>1109</v>
      </c>
      <c r="AJ74" s="141" t="s">
        <v>224</v>
      </c>
      <c r="AK74" s="141">
        <v>2.9324997437729969</v>
      </c>
      <c r="AL74" s="141">
        <v>166.45400000000001</v>
      </c>
      <c r="AM74" s="141">
        <v>488.13</v>
      </c>
      <c r="AN74" s="141">
        <v>8.5000000000000006E-2</v>
      </c>
      <c r="AO74" s="141">
        <v>2.9324997437729969</v>
      </c>
      <c r="AP74" s="141">
        <v>0.13200000000000001</v>
      </c>
      <c r="AQ74" s="141">
        <v>2.8854997437729968</v>
      </c>
      <c r="AR74" s="141">
        <v>0.251</v>
      </c>
      <c r="AS74" s="141">
        <v>2.766499743772997</v>
      </c>
      <c r="AT74" s="141">
        <v>0.52800000000000002</v>
      </c>
      <c r="AU74" s="141">
        <v>3.4241235582159599</v>
      </c>
      <c r="AV74" s="141">
        <v>0.88400000000000001</v>
      </c>
      <c r="AW74" s="141">
        <v>3.0681235582159605</v>
      </c>
      <c r="BB74" s="141">
        <v>480.3</v>
      </c>
      <c r="BC74" s="141">
        <v>460.49</v>
      </c>
    </row>
    <row r="75" spans="1:55" ht="51">
      <c r="A75" s="396"/>
      <c r="B75" s="396"/>
      <c r="C75" s="474" t="str">
        <f>CONCATENATE("Internal Plastering in CM(1:4) of 20 mm thick uniform portion PIx0.90x0.4 and Sloped Portion Pix(0.90+0.56)/2x(.6-.25)  Dedcut Pipe Portion 2xPI()/4x0.40x0.40=",E75)</f>
        <v>Internal Plastering in CM(1:4) of 20 mm thick uniform portion PIx0.90x0.4 and Sloped Portion Pix(0.90+0.56)/2x(.6-.25)  Dedcut Pipe Portion 2xPI()/4x0.40x0.40=0.803</v>
      </c>
      <c r="D75" s="805" t="s">
        <v>224</v>
      </c>
      <c r="E75" s="489">
        <f t="shared" si="8"/>
        <v>0.80300000000000005</v>
      </c>
      <c r="F75" s="863">
        <f t="shared" si="9"/>
        <v>259.48599999999999</v>
      </c>
      <c r="G75" s="477">
        <f t="shared" si="10"/>
        <v>208.37</v>
      </c>
      <c r="H75" s="851">
        <f>ROUND(PI()*$D$49*I67,3)</f>
        <v>0.65600000000000003</v>
      </c>
      <c r="I75" s="852">
        <f>(PI()*$D$49*$D$51+(PI()*($D$49+$D$52)/2*($D$50-0.25)))-H75</f>
        <v>1.2776502782845176</v>
      </c>
      <c r="J75" s="389">
        <f>ROUND(PI()*$D$49*K67,3)</f>
        <v>0.877</v>
      </c>
      <c r="K75" s="490">
        <f>(PI()*$D$49*$D$51+(PI()*($D$49+$D$52)/2*($D$50-0.175)))-J75</f>
        <v>1.2286524760685589</v>
      </c>
      <c r="L75" s="389">
        <f>ROUND(PI()*$D$49*M67,3)</f>
        <v>1.131</v>
      </c>
      <c r="M75" s="490">
        <f>((PI()*$D$49*$D$51)+(PI()*($D$49+$D$52)/2*($D$50-0.25)))-L75</f>
        <v>0.80265027828451774</v>
      </c>
      <c r="N75" s="389">
        <f>ROUND(PI()*$D$49*O67,3)</f>
        <v>1.64</v>
      </c>
      <c r="O75" s="490">
        <f>(PI()*$D$49*$D$51+(PI()*($D$49+$D$52)/2*($D$50-0.175)))-N75</f>
        <v>0.46565247606855897</v>
      </c>
      <c r="P75" s="389">
        <f>ROUND(PI()*$D$49*Q67,3)</f>
        <v>2.121</v>
      </c>
      <c r="Q75" s="490">
        <f>IF((PI()*$D$49*$D$51+(PI()*($D$49+$D$52)/2*($D$50-0.175)))-P75&gt;0,(PI()*$D$49*$D$51+(PI()*($D$49+$D$52)/2*($D$50-0.175)))-P75,0)</f>
        <v>0</v>
      </c>
      <c r="R75" s="389"/>
      <c r="S75" s="490"/>
      <c r="T75" s="389"/>
      <c r="U75" s="389"/>
      <c r="V75" s="165"/>
      <c r="W75" s="165"/>
      <c r="X75" s="165"/>
      <c r="Y75" s="165"/>
      <c r="Z75" s="165"/>
      <c r="AA75" s="165"/>
      <c r="AB75" s="165"/>
      <c r="AC75" s="165"/>
      <c r="AD75" s="165"/>
      <c r="AE75" s="165"/>
      <c r="AF75" s="165"/>
      <c r="AG75" s="165"/>
      <c r="AH75" s="165"/>
      <c r="AI75" s="141" t="s">
        <v>1110</v>
      </c>
      <c r="AJ75" s="141" t="s">
        <v>224</v>
      </c>
      <c r="AK75" s="141">
        <v>1.2776502782845176</v>
      </c>
      <c r="AL75" s="141">
        <v>253.714</v>
      </c>
      <c r="AM75" s="141">
        <v>324.16000000000003</v>
      </c>
      <c r="AN75" s="141">
        <v>0.65600000000000003</v>
      </c>
      <c r="AO75" s="141">
        <v>1.2776502782845176</v>
      </c>
      <c r="AP75" s="141">
        <v>0.82</v>
      </c>
      <c r="AQ75" s="141">
        <v>1.1136502782845179</v>
      </c>
      <c r="AR75" s="141">
        <v>1.131</v>
      </c>
      <c r="AS75" s="141">
        <v>0.80265027828451774</v>
      </c>
      <c r="AT75" s="141">
        <v>1.64</v>
      </c>
      <c r="AU75" s="141">
        <v>0.46565247606855897</v>
      </c>
      <c r="AV75" s="141">
        <v>2.121</v>
      </c>
      <c r="AW75" s="141">
        <v>0</v>
      </c>
      <c r="BB75" s="141">
        <v>282.55</v>
      </c>
      <c r="BC75" s="141">
        <v>203.64</v>
      </c>
    </row>
    <row r="76" spans="1:55" ht="63.75">
      <c r="A76" s="396"/>
      <c r="B76" s="396"/>
      <c r="C76" s="473" t="str">
        <f>CONCATENATE("CC Channeling with (1:2.5:5) Prop  PIx0.9x0.9x0.10/4 , Below cover= Pix (0.56+0.23)*0.1, over Manhole alround for Cover Pix(0.86+.08)x0.08*0.15= deduct Channel Pi/4x 0.90x0.40x0.40/2=",E76)</f>
        <v>CC Channeling with (1:2.5:5) Prop  PIx0.9x0.9x0.10/4 , Below cover= Pix (0.56+0.23)*0.1, over Manhole alround for Cover Pix(0.86+.08)x0.08*0.15= deduct Channel Pi/4x 0.90x0.40x0.40/2=0.099</v>
      </c>
      <c r="D76" s="805" t="s">
        <v>109</v>
      </c>
      <c r="E76" s="489">
        <f t="shared" si="8"/>
        <v>9.9000000000000005E-2</v>
      </c>
      <c r="F76" s="863">
        <f t="shared" si="9"/>
        <v>6018.18</v>
      </c>
      <c r="G76" s="477">
        <f>+ROUND(E76*F76,2)</f>
        <v>595.79999999999995</v>
      </c>
      <c r="H76" s="851">
        <f>ROUND($D$49*((PI()/4)*I67*I67)/2,3)</f>
        <v>1.9E-2</v>
      </c>
      <c r="I76" s="859">
        <f>(((PI()*$D$49^2/4)*0.1)+(PI()*($D$49+$F$50)*$F$50*0.1)+(PI()*(0.86+0.08)*0.08*0.15))-H76</f>
        <v>0.16170440943448494</v>
      </c>
      <c r="J76" s="389">
        <f>ROUND($D$49*(PI()/4)*K67*K67,3)</f>
        <v>6.8000000000000005E-2</v>
      </c>
      <c r="K76" s="389">
        <f>(((PI()*$D$49^2/4)*K67)+(PI()*($D$49+$F$50)*$F$50*0.075)+(PI()*(0.71+0.08)*0.08*0.175))-J76</f>
        <v>0.22519698837790142</v>
      </c>
      <c r="L76" s="851">
        <f>ROUND($D$49*((PI()/4)*M67*M67)/2,3)</f>
        <v>5.7000000000000002E-2</v>
      </c>
      <c r="M76" s="859">
        <f>(((PI()*$D$49^2/4)*0.1)+(PI()*($D$52+$F$50)*$F$50*0.1)+(PI()*(0.86+0.08)*0.08*0.15))-L76</f>
        <v>9.9137154883412737E-2</v>
      </c>
      <c r="N76" s="389">
        <f>ROUND($D$49*(PI()/4)*O67*O67,3)</f>
        <v>0.23799999999999999</v>
      </c>
      <c r="O76" s="389">
        <f>(((PI()*$D$49^2/4)*O67)+(PI()*($D$49+$F$50)*$F$50*0.075)+(PI()*(0.71+0.08)*0.08*0.175))-N76</f>
        <v>0.22696356671292334</v>
      </c>
      <c r="P76" s="389">
        <f>ROUND($D$49*(PI()/4)*Q67*Q67,3)</f>
        <v>0.39800000000000002</v>
      </c>
      <c r="Q76" s="389">
        <f>(((PI()*$D$49^2/4)*Q67)+(PI()*($D$49+$F$50)*$F$50*0.075)+(PI()*(0.71+0.08)*0.08*0.175))-P76</f>
        <v>0.17511289381275208</v>
      </c>
      <c r="R76" s="389"/>
      <c r="S76" s="389"/>
      <c r="T76" s="389"/>
      <c r="U76" s="389"/>
      <c r="V76" s="165"/>
      <c r="W76" s="165"/>
      <c r="X76" s="165"/>
      <c r="Y76" s="165"/>
      <c r="Z76" s="165"/>
      <c r="AA76" s="165"/>
      <c r="AB76" s="165"/>
      <c r="AC76" s="165"/>
      <c r="AD76" s="165"/>
      <c r="AE76" s="165"/>
      <c r="AF76" s="165"/>
      <c r="AG76" s="165"/>
      <c r="AH76" s="165"/>
      <c r="AI76" s="141" t="s">
        <v>762</v>
      </c>
      <c r="AJ76" s="141" t="s">
        <v>109</v>
      </c>
      <c r="AK76" s="141">
        <v>0.13713715488341274</v>
      </c>
      <c r="AL76" s="141">
        <v>5040.1499999999996</v>
      </c>
      <c r="AM76" s="141">
        <v>691.19</v>
      </c>
      <c r="AN76" s="141">
        <v>1.9E-2</v>
      </c>
      <c r="AO76" s="141">
        <v>0.13713715488341274</v>
      </c>
      <c r="AP76" s="141">
        <v>0.03</v>
      </c>
      <c r="AQ76" s="141">
        <v>0.12613715488341273</v>
      </c>
      <c r="AR76" s="141">
        <v>5.7000000000000002E-2</v>
      </c>
      <c r="AS76" s="141">
        <v>9.9137154883412737E-2</v>
      </c>
      <c r="AT76" s="141">
        <v>0.23799999999999999</v>
      </c>
      <c r="AU76" s="141">
        <v>0.22696356671292334</v>
      </c>
      <c r="AV76" s="141">
        <v>0.39800000000000002</v>
      </c>
      <c r="AW76" s="141">
        <v>0.17511289381275208</v>
      </c>
      <c r="BB76" s="141">
        <v>635.75</v>
      </c>
      <c r="BC76" s="141">
        <v>499.67</v>
      </c>
    </row>
    <row r="77" spans="1:55">
      <c r="A77" s="396" t="s">
        <v>128</v>
      </c>
      <c r="B77" s="396"/>
      <c r="C77" s="473" t="s">
        <v>225</v>
      </c>
      <c r="D77" s="338" t="s">
        <v>226</v>
      </c>
      <c r="E77" s="399">
        <v>2</v>
      </c>
      <c r="F77" s="863">
        <f t="shared" si="9"/>
        <v>81</v>
      </c>
      <c r="G77" s="477">
        <f t="shared" ref="G77" si="11">+ROUND(E77*F77,2)</f>
        <v>162</v>
      </c>
      <c r="H77" s="856"/>
      <c r="I77" s="851"/>
      <c r="J77" s="389"/>
      <c r="K77" s="389"/>
      <c r="L77" s="389"/>
      <c r="M77" s="389"/>
      <c r="N77" s="389"/>
      <c r="O77" s="389"/>
      <c r="P77" s="389"/>
      <c r="Q77" s="389"/>
      <c r="R77" s="540"/>
      <c r="S77" s="540"/>
      <c r="T77" s="540"/>
      <c r="U77" s="540"/>
      <c r="AI77" s="141" t="s">
        <v>225</v>
      </c>
      <c r="AJ77" s="141" t="s">
        <v>226</v>
      </c>
      <c r="AK77" s="141">
        <v>2</v>
      </c>
      <c r="AL77" s="141">
        <v>81</v>
      </c>
      <c r="AM77" s="141">
        <v>162</v>
      </c>
      <c r="BB77" s="141">
        <v>162</v>
      </c>
      <c r="BC77" s="141">
        <v>162</v>
      </c>
    </row>
    <row r="78" spans="1:55">
      <c r="A78" s="888"/>
      <c r="B78" s="397"/>
      <c r="C78" s="480" t="s">
        <v>106</v>
      </c>
      <c r="D78" s="338" t="s">
        <v>226</v>
      </c>
      <c r="E78" s="399"/>
      <c r="F78" s="472" t="s">
        <v>154</v>
      </c>
      <c r="G78" s="865">
        <f>SUM(G71:G77)</f>
        <v>7541.51</v>
      </c>
      <c r="H78" s="860"/>
      <c r="I78" s="851"/>
      <c r="J78" s="389"/>
      <c r="K78" s="389"/>
      <c r="L78" s="389"/>
      <c r="M78" s="389"/>
      <c r="N78" s="389"/>
      <c r="O78" s="389"/>
      <c r="P78" s="389"/>
      <c r="Q78" s="389"/>
      <c r="R78" s="540"/>
      <c r="S78" s="540"/>
      <c r="T78" s="540"/>
      <c r="U78" s="540"/>
      <c r="AI78" s="141" t="s">
        <v>106</v>
      </c>
      <c r="AJ78" s="141" t="s">
        <v>226</v>
      </c>
      <c r="AL78" s="141" t="s">
        <v>154</v>
      </c>
      <c r="AM78" s="141">
        <v>8244.41</v>
      </c>
      <c r="BB78" s="141">
        <v>8035.83</v>
      </c>
      <c r="BC78" s="141">
        <v>7537.0800000000008</v>
      </c>
    </row>
    <row r="79" spans="1:55" s="197" customFormat="1">
      <c r="A79" s="386"/>
      <c r="B79" s="386"/>
      <c r="C79" s="481" t="s">
        <v>319</v>
      </c>
      <c r="D79" s="388"/>
      <c r="E79" s="387"/>
      <c r="F79" s="475"/>
      <c r="G79" s="482"/>
      <c r="H79" s="861"/>
      <c r="I79" s="850"/>
      <c r="J79" s="384"/>
      <c r="K79" s="384"/>
      <c r="L79" s="384"/>
      <c r="M79" s="384"/>
      <c r="N79" s="384"/>
      <c r="O79" s="384"/>
      <c r="P79" s="384"/>
      <c r="Q79" s="384"/>
      <c r="R79" s="657"/>
      <c r="S79" s="657"/>
      <c r="T79" s="657"/>
      <c r="U79" s="657"/>
    </row>
    <row r="80" spans="1:55" s="197" customFormat="1">
      <c r="A80" s="386"/>
      <c r="B80" s="386"/>
      <c r="C80" s="481" t="s">
        <v>320</v>
      </c>
      <c r="D80" s="388" t="s">
        <v>109</v>
      </c>
      <c r="E80" s="483">
        <f>ROUND(E71*0.9+E76*0.9,2)</f>
        <v>0.38</v>
      </c>
      <c r="F80" s="475">
        <v>97.5</v>
      </c>
      <c r="G80" s="475">
        <v>0</v>
      </c>
      <c r="H80" s="850"/>
      <c r="I80" s="862">
        <f>ROUND(I71*0.9+I76*0.9,2)</f>
        <v>0.44</v>
      </c>
      <c r="J80" s="483"/>
      <c r="K80" s="483">
        <f>ROUND(K71*0.9+K76*0.9,2)</f>
        <v>0.49</v>
      </c>
      <c r="L80" s="384"/>
      <c r="M80" s="483">
        <f>ROUND(M71*0.9+M76*0.9,2)</f>
        <v>0.38</v>
      </c>
      <c r="N80" s="384"/>
      <c r="O80" s="483"/>
      <c r="P80" s="384"/>
      <c r="Q80" s="483"/>
      <c r="R80" s="657"/>
      <c r="S80" s="657"/>
      <c r="T80" s="657"/>
      <c r="U80" s="657"/>
    </row>
    <row r="81" spans="1:34" s="197" customFormat="1">
      <c r="A81" s="386"/>
      <c r="B81" s="386"/>
      <c r="C81" s="481" t="s">
        <v>321</v>
      </c>
      <c r="D81" s="388" t="s">
        <v>109</v>
      </c>
      <c r="E81" s="483">
        <f>ROUND((E72+E73)*0.2+(E74*0.015+E75*0.021)+(E71+E76)*0.45,2)</f>
        <v>0.35</v>
      </c>
      <c r="F81" s="475">
        <v>40</v>
      </c>
      <c r="G81" s="475">
        <v>0</v>
      </c>
      <c r="H81" s="850"/>
      <c r="I81" s="862">
        <f>ROUND((I72+I73)*0.2+(I74*0.015+I75*0.021)+(I71+I76)*0.45,2)</f>
        <v>0.4</v>
      </c>
      <c r="J81" s="483"/>
      <c r="K81" s="483">
        <f>ROUND((K72+K73)*0.2+(K74*0.015+K75*0.021)+(K71+K76)*0.45,2)</f>
        <v>0.44</v>
      </c>
      <c r="L81" s="384"/>
      <c r="M81" s="483">
        <f>ROUND((M72+M73)*0.2+(M74*0.015+M75*0.021)+(M71+M76)*0.45,2)</f>
        <v>0.35</v>
      </c>
      <c r="N81" s="384"/>
      <c r="O81" s="483"/>
      <c r="P81" s="384"/>
      <c r="Q81" s="483"/>
      <c r="R81" s="657"/>
      <c r="S81" s="657"/>
      <c r="T81" s="657"/>
      <c r="U81" s="657"/>
    </row>
    <row r="82" spans="1:34" s="197" customFormat="1">
      <c r="A82" s="386"/>
      <c r="B82" s="386"/>
      <c r="C82" s="481" t="s">
        <v>273</v>
      </c>
      <c r="D82" s="388"/>
      <c r="E82" s="387"/>
      <c r="F82" s="475" t="s">
        <v>154</v>
      </c>
      <c r="G82" s="870">
        <f>SUM(G78:G81)</f>
        <v>7541.51</v>
      </c>
      <c r="H82" s="384"/>
      <c r="I82" s="387"/>
      <c r="J82" s="387"/>
      <c r="K82" s="387"/>
      <c r="L82" s="384"/>
      <c r="M82" s="387"/>
      <c r="N82" s="384"/>
      <c r="O82" s="387"/>
      <c r="P82" s="384"/>
      <c r="Q82" s="387"/>
      <c r="R82" s="657"/>
      <c r="S82" s="657"/>
      <c r="T82" s="657"/>
      <c r="U82" s="657"/>
    </row>
    <row r="83" spans="1:34" s="197" customFormat="1">
      <c r="A83" s="386"/>
      <c r="B83" s="386"/>
      <c r="C83" s="481"/>
      <c r="D83" s="388"/>
      <c r="E83" s="387"/>
      <c r="F83" s="475"/>
      <c r="G83" s="870"/>
      <c r="H83" s="384"/>
      <c r="I83" s="387"/>
      <c r="J83" s="387"/>
      <c r="K83" s="387"/>
      <c r="L83" s="384"/>
      <c r="M83" s="387"/>
      <c r="N83" s="384"/>
      <c r="O83" s="387"/>
      <c r="P83" s="384"/>
      <c r="Q83" s="387"/>
      <c r="R83" s="657"/>
      <c r="S83" s="657"/>
      <c r="T83" s="657"/>
      <c r="U83" s="657"/>
    </row>
    <row r="84" spans="1:34" ht="171.75" hidden="1" customHeight="1">
      <c r="A84" s="396"/>
      <c r="B84" s="605">
        <v>1</v>
      </c>
      <c r="C84" s="864" t="s">
        <v>1235</v>
      </c>
      <c r="D84" s="338"/>
      <c r="E84" s="399"/>
      <c r="F84" s="472"/>
      <c r="G84" s="414"/>
      <c r="H84" s="1606" t="s">
        <v>446</v>
      </c>
      <c r="I84" s="1607"/>
      <c r="J84" s="1600" t="s">
        <v>440</v>
      </c>
      <c r="K84" s="1601"/>
      <c r="L84" s="1606" t="s">
        <v>439</v>
      </c>
      <c r="M84" s="1608"/>
      <c r="N84" s="1602" t="s">
        <v>717</v>
      </c>
      <c r="O84" s="1603"/>
      <c r="P84" s="1600" t="s">
        <v>718</v>
      </c>
      <c r="Q84" s="1601"/>
      <c r="R84" s="1600"/>
      <c r="S84" s="1601"/>
      <c r="T84" s="1600"/>
      <c r="U84" s="1601"/>
      <c r="V84" s="966"/>
      <c r="W84" s="966"/>
      <c r="X84" s="966"/>
      <c r="Y84" s="966"/>
      <c r="Z84" s="966"/>
      <c r="AA84" s="966"/>
      <c r="AB84" s="966"/>
      <c r="AC84" s="966"/>
      <c r="AD84" s="966"/>
      <c r="AE84" s="966"/>
      <c r="AF84" s="966"/>
      <c r="AG84" s="966"/>
      <c r="AH84" s="966"/>
    </row>
    <row r="85" spans="1:34" hidden="1">
      <c r="A85" s="396"/>
      <c r="B85" s="605"/>
      <c r="C85" s="474" t="s">
        <v>857</v>
      </c>
      <c r="D85" s="338">
        <v>0.9</v>
      </c>
      <c r="E85" s="399" t="s">
        <v>862</v>
      </c>
      <c r="F85" s="472">
        <v>0.15</v>
      </c>
      <c r="G85" s="414"/>
      <c r="H85" s="854" t="s">
        <v>856</v>
      </c>
      <c r="I85" s="855">
        <f>0.2+(2*0.016)</f>
        <v>0.23200000000000001</v>
      </c>
      <c r="J85" s="603" t="s">
        <v>856</v>
      </c>
      <c r="K85" s="604">
        <v>0.31</v>
      </c>
      <c r="L85" s="603" t="s">
        <v>856</v>
      </c>
      <c r="M85" s="604">
        <v>0.4</v>
      </c>
      <c r="N85" s="603" t="s">
        <v>856</v>
      </c>
      <c r="O85" s="604">
        <v>0.57999999999999996</v>
      </c>
      <c r="P85" s="603" t="s">
        <v>856</v>
      </c>
      <c r="Q85" s="604">
        <v>0.75</v>
      </c>
      <c r="R85" s="886"/>
      <c r="S85" s="887"/>
      <c r="T85" s="886"/>
      <c r="U85" s="887"/>
      <c r="V85" s="966"/>
      <c r="W85" s="966"/>
      <c r="X85" s="966"/>
      <c r="Y85" s="966"/>
      <c r="Z85" s="966"/>
      <c r="AA85" s="966"/>
      <c r="AB85" s="966"/>
      <c r="AC85" s="966"/>
      <c r="AD85" s="966"/>
      <c r="AE85" s="966"/>
      <c r="AF85" s="966"/>
      <c r="AG85" s="966"/>
      <c r="AH85" s="966"/>
    </row>
    <row r="86" spans="1:34" hidden="1">
      <c r="A86" s="396"/>
      <c r="B86" s="605"/>
      <c r="C86" s="474" t="s">
        <v>858</v>
      </c>
      <c r="D86" s="338">
        <v>0.6</v>
      </c>
      <c r="E86" s="399" t="s">
        <v>859</v>
      </c>
      <c r="F86" s="472">
        <v>0.23</v>
      </c>
      <c r="G86" s="414"/>
      <c r="H86" s="854"/>
      <c r="I86" s="854"/>
      <c r="J86" s="603"/>
      <c r="K86" s="604"/>
      <c r="L86" s="603"/>
      <c r="M86" s="604"/>
      <c r="N86" s="603"/>
      <c r="O86" s="604"/>
      <c r="P86" s="603"/>
      <c r="Q86" s="604"/>
      <c r="R86" s="886"/>
      <c r="S86" s="887"/>
      <c r="T86" s="886"/>
      <c r="U86" s="887"/>
      <c r="V86" s="966"/>
      <c r="W86" s="966"/>
      <c r="X86" s="966"/>
      <c r="Y86" s="966"/>
      <c r="Z86" s="966"/>
      <c r="AA86" s="966"/>
      <c r="AB86" s="966"/>
      <c r="AC86" s="966"/>
      <c r="AD86" s="966"/>
      <c r="AE86" s="966"/>
      <c r="AF86" s="966"/>
      <c r="AG86" s="966"/>
      <c r="AH86" s="966"/>
    </row>
    <row r="87" spans="1:34" hidden="1">
      <c r="A87" s="396"/>
      <c r="B87" s="605"/>
      <c r="C87" s="474" t="s">
        <v>860</v>
      </c>
      <c r="D87" s="338">
        <v>0.4</v>
      </c>
      <c r="E87" s="399" t="s">
        <v>861</v>
      </c>
      <c r="F87" s="472">
        <v>0.23</v>
      </c>
      <c r="G87" s="414"/>
      <c r="H87" s="854"/>
      <c r="I87" s="854"/>
      <c r="J87" s="603"/>
      <c r="K87" s="604"/>
      <c r="L87" s="603"/>
      <c r="M87" s="604"/>
      <c r="N87" s="603"/>
      <c r="O87" s="604"/>
      <c r="P87" s="603"/>
      <c r="Q87" s="604"/>
      <c r="R87" s="886"/>
      <c r="S87" s="887"/>
      <c r="T87" s="886"/>
      <c r="U87" s="887"/>
      <c r="V87" s="966"/>
      <c r="W87" s="966"/>
      <c r="X87" s="966"/>
      <c r="Y87" s="966"/>
      <c r="Z87" s="966"/>
      <c r="AA87" s="966"/>
      <c r="AB87" s="966"/>
      <c r="AC87" s="966"/>
      <c r="AD87" s="966"/>
      <c r="AE87" s="966"/>
      <c r="AF87" s="966"/>
      <c r="AG87" s="966"/>
      <c r="AH87" s="966"/>
    </row>
    <row r="88" spans="1:34" hidden="1">
      <c r="A88" s="396"/>
      <c r="B88" s="605"/>
      <c r="C88" s="474" t="s">
        <v>863</v>
      </c>
      <c r="D88" s="338">
        <v>0.56000000000000005</v>
      </c>
      <c r="E88" s="399"/>
      <c r="F88" s="472"/>
      <c r="G88" s="414"/>
      <c r="H88" s="854"/>
      <c r="I88" s="854"/>
      <c r="J88" s="603"/>
      <c r="K88" s="604"/>
      <c r="L88" s="603"/>
      <c r="M88" s="604"/>
      <c r="N88" s="603"/>
      <c r="O88" s="604"/>
      <c r="P88" s="603"/>
      <c r="Q88" s="604"/>
      <c r="R88" s="886"/>
      <c r="S88" s="887"/>
      <c r="T88" s="886"/>
      <c r="U88" s="887"/>
      <c r="V88" s="966"/>
      <c r="W88" s="966"/>
      <c r="X88" s="966"/>
      <c r="Y88" s="966"/>
      <c r="Z88" s="966"/>
      <c r="AA88" s="966"/>
      <c r="AB88" s="966"/>
      <c r="AC88" s="966"/>
      <c r="AD88" s="966"/>
      <c r="AE88" s="966"/>
      <c r="AF88" s="966"/>
      <c r="AG88" s="966"/>
      <c r="AH88" s="966"/>
    </row>
    <row r="89" spans="1:34" hidden="1">
      <c r="A89" s="396"/>
      <c r="B89" s="396"/>
      <c r="C89" s="474" t="str">
        <f>CONCATENATE("CC in CM( 1:4:8) PI/4x(0.9+0.46+0.3)x0.15=",E89)</f>
        <v>CC in CM( 1:4:8) PI/4x(0.9+0.46+0.3)x0.15=0.325</v>
      </c>
      <c r="D89" s="805" t="s">
        <v>109</v>
      </c>
      <c r="E89" s="489">
        <f>ROUND(O89,3)</f>
        <v>0.32500000000000001</v>
      </c>
      <c r="F89" s="863">
        <f>F71</f>
        <v>5383.2900000000009</v>
      </c>
      <c r="G89" s="477">
        <f>+ROUND(E89*F89,2)</f>
        <v>1749.57</v>
      </c>
      <c r="H89" s="856"/>
      <c r="I89" s="856">
        <f>(PI()/4)*(($D$49+(2*$F$51))+0.3)^2*$F$49</f>
        <v>0.32463647685870128</v>
      </c>
      <c r="J89" s="477"/>
      <c r="K89" s="822">
        <f>(PI()/4)*(($D$49+(2*$F$51))+0.3)^2*$F$49</f>
        <v>0.32463647685870128</v>
      </c>
      <c r="L89" s="477"/>
      <c r="M89" s="822">
        <f>(PI()/4)*(($D$49+(2*$F$51))+0.3)^2*$F$49</f>
        <v>0.32463647685870128</v>
      </c>
      <c r="N89" s="477"/>
      <c r="O89" s="822">
        <f>(PI()/4)*(($D$49+(2*$F$51))+0.3)^2*$F$49</f>
        <v>0.32463647685870128</v>
      </c>
      <c r="P89" s="822"/>
      <c r="Q89" s="822">
        <f>(PI()/4)*(($D$49+(2*$F$51))+0.3)^2*$F$49</f>
        <v>0.32463647685870128</v>
      </c>
      <c r="R89" s="389"/>
      <c r="S89" s="389"/>
      <c r="T89" s="389"/>
      <c r="U89" s="389"/>
      <c r="V89" s="165"/>
      <c r="W89" s="165"/>
      <c r="X89" s="165"/>
      <c r="Y89" s="165"/>
      <c r="Z89" s="165"/>
      <c r="AA89" s="165"/>
      <c r="AB89" s="165"/>
      <c r="AC89" s="165"/>
      <c r="AD89" s="165"/>
      <c r="AE89" s="165"/>
      <c r="AF89" s="165"/>
      <c r="AG89" s="165"/>
      <c r="AH89" s="165"/>
    </row>
    <row r="90" spans="1:34" ht="38.25" hidden="1">
      <c r="A90" s="396"/>
      <c r="B90" s="396"/>
      <c r="C90" s="474" t="str">
        <f>CONCATENATE("2nd Class Brick Masonory in cm (1: 6) Prop using 2nd class bricks for Uniform Section( PIx1.13x0.23x0.4)-(PI/4*0.58*0.5*8.23*2)=",E90)</f>
        <v>2nd Class Brick Masonory in cm (1: 6) Prop using 2nd class bricks for Uniform Section( PIx1.13x0.23x0.4)-(PI/4*0.58*0.5*8.23*2)=0.205</v>
      </c>
      <c r="D90" s="805" t="s">
        <v>109</v>
      </c>
      <c r="E90" s="489">
        <f t="shared" ref="E90:E94" si="12">ROUND(O90,3)</f>
        <v>0.20499999999999999</v>
      </c>
      <c r="F90" s="863">
        <f t="shared" ref="F90:F95" si="13">F72</f>
        <v>8504.4699999999993</v>
      </c>
      <c r="G90" s="477">
        <f t="shared" ref="G90:G93" si="14">+ROUND(E90*F90,2)</f>
        <v>1743.42</v>
      </c>
      <c r="H90" s="857">
        <f>ROUND(PI()/4*I85*I85*$F$51*2,3)</f>
        <v>1.9E-2</v>
      </c>
      <c r="I90" s="858">
        <f>(PI()*($D$49+$F$51)*$F$51*$D$51)-H90</f>
        <v>0.30759997226719493</v>
      </c>
      <c r="J90" s="479">
        <f>ROUND(PI()/4*K85*K85*$F$51*2,3)</f>
        <v>3.5000000000000003E-2</v>
      </c>
      <c r="K90" s="479">
        <f>(PI()*($D$49+$F$51)*$F$51*$D$51)-J90</f>
        <v>0.29159997226719492</v>
      </c>
      <c r="L90" s="479">
        <f>ROUND((PI()/4)*M85*M85*$F$51*2,3)</f>
        <v>5.8000000000000003E-2</v>
      </c>
      <c r="M90" s="479">
        <f>(PI()*($D$49+$F$51)*$F$51*$D$51)-L90</f>
        <v>0.26859997226719495</v>
      </c>
      <c r="N90" s="479">
        <f>ROUND(PI()/4*O85*O85*$F$51*2,3)</f>
        <v>0.122</v>
      </c>
      <c r="O90" s="858">
        <f>(PI()*($D$49+$F$51)*$F$51*$D$51)-N90</f>
        <v>0.20459997226719495</v>
      </c>
      <c r="P90" s="479">
        <f>ROUND(PI()/4*Q85*Q85*$F$51*2,3)</f>
        <v>0.20300000000000001</v>
      </c>
      <c r="Q90" s="479">
        <f>(PI()*($D$49+$F$51)*$F$51*$D$51)-P90</f>
        <v>0.12359997226719494</v>
      </c>
      <c r="R90" s="479"/>
      <c r="S90" s="479"/>
      <c r="T90" s="479"/>
      <c r="U90" s="479"/>
      <c r="V90" s="465"/>
      <c r="W90" s="465"/>
      <c r="X90" s="465"/>
      <c r="Y90" s="465"/>
      <c r="Z90" s="465"/>
      <c r="AA90" s="465"/>
      <c r="AB90" s="465"/>
      <c r="AC90" s="465"/>
      <c r="AD90" s="465"/>
      <c r="AE90" s="465"/>
      <c r="AF90" s="465"/>
      <c r="AG90" s="465"/>
      <c r="AH90" s="465"/>
    </row>
    <row r="91" spans="1:34" ht="38.25" hidden="1">
      <c r="A91" s="396"/>
      <c r="B91" s="396"/>
      <c r="C91" s="474" t="str">
        <f>CONCATENATE("2nd Class Brick Masonory work  in cm (1: 6) )Prop using 2nd class bricks for Carbelling Portion Pix(1.13+0.78)/2x0.23x(0.6-.25)=",E91)</f>
        <v>2nd Class Brick Masonory work  in cm (1: 6) )Prop using 2nd class bricks for Carbelling Portion Pix(1.13+0.78)/2x0.23x(0.6-.25)=0.243</v>
      </c>
      <c r="D91" s="805" t="s">
        <v>109</v>
      </c>
      <c r="E91" s="489">
        <f t="shared" si="12"/>
        <v>0.24299999999999999</v>
      </c>
      <c r="F91" s="863">
        <f t="shared" si="13"/>
        <v>8504.4699999999993</v>
      </c>
      <c r="G91" s="477">
        <f t="shared" si="14"/>
        <v>2066.59</v>
      </c>
      <c r="H91" s="851"/>
      <c r="I91" s="851">
        <f>(PI()*(($D$49+$F$50+$D$52+$F$50)/2)*$F$50)*($D$50-0.25)</f>
        <v>0.24278228026941923</v>
      </c>
      <c r="J91" s="389"/>
      <c r="K91" s="389">
        <f>(PI()*(($D$49+$F$50+$D$52+$F$50)/2)*$F$50)*($D$50-0.25)</f>
        <v>0.24278228026941923</v>
      </c>
      <c r="L91" s="493"/>
      <c r="M91" s="389">
        <f>(PI()*(($D$49+$F$50+($D$52+$F$50))/2)*$F$50)*($D$50-0.25)</f>
        <v>0.24278228026941923</v>
      </c>
      <c r="N91" s="389"/>
      <c r="O91" s="851">
        <f>(PI()*(($D$49+$F$50+$D$52+$F$50)/2)*$F$50)*($D$50-0.25)</f>
        <v>0.24278228026941923</v>
      </c>
      <c r="P91" s="389"/>
      <c r="Q91" s="389">
        <f>(PI()*(($D$49+$F$50+$D$52+$F$50)/2)*$F$50)*($D$50-0.25)</f>
        <v>0.24278228026941923</v>
      </c>
      <c r="R91" s="389"/>
      <c r="S91" s="389"/>
      <c r="T91" s="389"/>
      <c r="U91" s="389"/>
      <c r="V91" s="165"/>
      <c r="W91" s="165"/>
      <c r="X91" s="165"/>
      <c r="Y91" s="165"/>
      <c r="Z91" s="165"/>
      <c r="AA91" s="165"/>
      <c r="AB91" s="165"/>
      <c r="AC91" s="165"/>
      <c r="AD91" s="165"/>
      <c r="AE91" s="165"/>
      <c r="AF91" s="165"/>
      <c r="AG91" s="165"/>
      <c r="AH91" s="165"/>
    </row>
    <row r="92" spans="1:34" ht="51" hidden="1">
      <c r="A92" s="396"/>
      <c r="B92" s="396"/>
      <c r="C92" s="970" t="str">
        <f>CONCATENATE("External Plastering in CM(1:4) of 12 mm thick vertical portion Pix(.9+.23*2)x0.40 and sloped portion Pix(1.36+1.01)/2x(0.6-.25)  Dedcut Pipe Portion 2xPI()/4x0.23x0.23=",E92)</f>
        <v>External Plastering in CM(1:4) of 12 mm thick vertical portion Pix(.9+.23*2)x0.40 and sloped portion Pix(1.36+1.01)/2x(0.6-.25)  Dedcut Pipe Portion 2xPI()/4x0.23x0.23=2.489</v>
      </c>
      <c r="D92" s="805" t="s">
        <v>224</v>
      </c>
      <c r="E92" s="489">
        <f t="shared" si="12"/>
        <v>2.4889999999999999</v>
      </c>
      <c r="F92" s="863">
        <f t="shared" si="13"/>
        <v>170.45499999999998</v>
      </c>
      <c r="G92" s="477">
        <f t="shared" si="14"/>
        <v>424.26</v>
      </c>
      <c r="H92" s="851">
        <f>ROUND(PI()/4*I85*I85*2,3)</f>
        <v>8.5000000000000006E-2</v>
      </c>
      <c r="I92" s="859">
        <f>((PI()*($D$49+2*($F$51))))*($D$51)+(PI()*(($D$49+2*($F$51)+$D$52+2*($F$50))/2)*($D$50-0.25))-H92</f>
        <v>2.9324997437729969</v>
      </c>
      <c r="J92" s="389">
        <f>ROUND(PI()/4*K85*K85*2,3)</f>
        <v>0.151</v>
      </c>
      <c r="K92" s="389">
        <f>((PI()*($D$49+2*($F$51))))*($D$51)+(PI()*(($D$49+2*($F$51)+$D$52+2*($F$50))/2)*($D$50))-J92</f>
        <v>3.8011235582159606</v>
      </c>
      <c r="L92" s="389">
        <f>ROUND((PI()/4)*M85*M85*2,3)</f>
        <v>0.251</v>
      </c>
      <c r="M92" s="389">
        <f>((PI()*($D$49+2*($F$51))))*($D$51)+(PI()*(($D$49+2*($F$50)+($D$52+2*($F$50)))/2)*($D$50-0.25))-L92</f>
        <v>2.7664997437729966</v>
      </c>
      <c r="N92" s="389">
        <f>ROUND(PI()/4*O85*O85*2,3)</f>
        <v>0.52800000000000002</v>
      </c>
      <c r="O92" s="859">
        <f>((PI()*($D$49+2*($F$51))))*($D$51)+(PI()*(($D$49+2*($F$51)+$D$52+2*($F$50))/2)*($D$50-0.25))-N92</f>
        <v>2.4894997437729969</v>
      </c>
      <c r="P92" s="389">
        <f>ROUND(PI()/4*Q85*Q85*2,3)</f>
        <v>0.88400000000000001</v>
      </c>
      <c r="Q92" s="389">
        <f>((PI()*($D$49+2*($F$51))))*($D$51)+(PI()*(($D$49+2*($F$51)+$D$52+2*($F$50))/2)*($D$50))-P92</f>
        <v>3.0681235582159605</v>
      </c>
      <c r="R92" s="479"/>
      <c r="S92" s="479"/>
      <c r="T92" s="479"/>
      <c r="U92" s="479"/>
      <c r="V92" s="465"/>
      <c r="W92" s="465"/>
      <c r="X92" s="465"/>
      <c r="Y92" s="465"/>
      <c r="Z92" s="465"/>
      <c r="AA92" s="465"/>
      <c r="AB92" s="465"/>
      <c r="AC92" s="465"/>
      <c r="AD92" s="465"/>
      <c r="AE92" s="465"/>
      <c r="AF92" s="465"/>
      <c r="AG92" s="465"/>
      <c r="AH92" s="465"/>
    </row>
    <row r="93" spans="1:34" ht="51" hidden="1">
      <c r="A93" s="396"/>
      <c r="B93" s="396"/>
      <c r="C93" s="474" t="str">
        <f>CONCATENATE("Internal Plastering in CM(1:4) of 20 mm thick uniform portion PIx0.90x0.4 and Sloped Portion Pix(0.90+0.56)/2x(.6-.25)  Dedcut Pipe Portion 2xPI()/4x0.25x0.25=",E93)</f>
        <v>Internal Plastering in CM(1:4) of 20 mm thick uniform portion PIx0.90x0.4 and Sloped Portion Pix(0.90+0.56)/2x(.6-.25)  Dedcut Pipe Portion 2xPI()/4x0.25x0.25=0.294</v>
      </c>
      <c r="D93" s="805" t="s">
        <v>224</v>
      </c>
      <c r="E93" s="489">
        <f t="shared" si="12"/>
        <v>0.29399999999999998</v>
      </c>
      <c r="F93" s="863">
        <f t="shared" si="13"/>
        <v>259.48599999999999</v>
      </c>
      <c r="G93" s="477">
        <f t="shared" si="14"/>
        <v>76.290000000000006</v>
      </c>
      <c r="H93" s="851">
        <f>ROUND(PI()*$D$49*I85,3)</f>
        <v>0.65600000000000003</v>
      </c>
      <c r="I93" s="852">
        <f>(PI()*$D$49*$D$51+(PI()*($D$49+$D$52)/2*($D$50-0.25)))-H93</f>
        <v>1.2776502782845176</v>
      </c>
      <c r="J93" s="389">
        <f>ROUND(PI()*$D$49*K85,3)</f>
        <v>0.877</v>
      </c>
      <c r="K93" s="490">
        <f>(PI()*$D$49*$D$51+(PI()*($D$49+$D$52)/2*($D$50-0.175)))-J93</f>
        <v>1.2286524760685589</v>
      </c>
      <c r="L93" s="389">
        <f>ROUND(PI()*$D$49*M85,3)</f>
        <v>1.131</v>
      </c>
      <c r="M93" s="490">
        <f>((PI()*$D$49*$D$51)+(PI()*($D$49+$D$52)/2*($D$50-0.25)))-L93</f>
        <v>0.80265027828451774</v>
      </c>
      <c r="N93" s="389">
        <f>ROUND(PI()*$D$49*O85,3)</f>
        <v>1.64</v>
      </c>
      <c r="O93" s="852">
        <f>(PI()*$D$49*$D$51+(PI()*($D$49+$D$52)/2*($D$50-0.25)))-N93</f>
        <v>0.29365027828451784</v>
      </c>
      <c r="P93" s="389">
        <f>ROUND(PI()*$D$49*Q85,3)</f>
        <v>2.121</v>
      </c>
      <c r="Q93" s="490">
        <f>IF((PI()*$D$49*$D$51+(PI()*($D$49+$D$52)/2*($D$50-0.175)))-P93&gt;0,(PI()*$D$49*$D$51+(PI()*($D$49+$D$52)/2*($D$50-0.175)))-P93,0)</f>
        <v>0</v>
      </c>
      <c r="R93" s="389"/>
      <c r="S93" s="490"/>
      <c r="T93" s="389"/>
      <c r="U93" s="389"/>
      <c r="V93" s="165"/>
      <c r="W93" s="165"/>
      <c r="X93" s="165"/>
      <c r="Y93" s="165"/>
      <c r="Z93" s="165"/>
      <c r="AA93" s="165"/>
      <c r="AB93" s="165"/>
      <c r="AC93" s="165"/>
      <c r="AD93" s="165"/>
      <c r="AE93" s="165"/>
      <c r="AF93" s="165"/>
      <c r="AG93" s="165"/>
      <c r="AH93" s="165"/>
    </row>
    <row r="94" spans="1:34" ht="51" hidden="1">
      <c r="A94" s="396"/>
      <c r="B94" s="396"/>
      <c r="C94" s="473" t="str">
        <f>CONCATENATE("CC Channeling with (1:2.5:5) Prop  PIx0.9x0.9x0.30/4 = over Manhole alround for Cover PIx0.81x0.15x0.10= deduct Channel 0.90x0.25x0.25=",E94)</f>
        <v>CC Channeling with (1:2.5:5) Prop  PIx0.9x0.9x0.30/4 = over Manhole alround for Cover PIx0.81x0.15x0.10= deduct Channel 0.90x0.25x0.25=0.062</v>
      </c>
      <c r="D94" s="805" t="s">
        <v>109</v>
      </c>
      <c r="E94" s="489">
        <f t="shared" si="12"/>
        <v>6.2E-2</v>
      </c>
      <c r="F94" s="863">
        <f t="shared" si="13"/>
        <v>6018.18</v>
      </c>
      <c r="G94" s="477">
        <f>+ROUND(E94*F94,2)</f>
        <v>373.13</v>
      </c>
      <c r="H94" s="851">
        <f>ROUND($D$49*((PI()/4)*I85*I85)/2,3)</f>
        <v>1.9E-2</v>
      </c>
      <c r="I94" s="859">
        <f>(((PI()*$D$49^2/4)*0.1)+(PI()*($D$49+$F$50)*$F$50*0.1)+(PI()*(0.86+0.08)*0.08*0.15))-H94</f>
        <v>0.16170440943448494</v>
      </c>
      <c r="J94" s="389">
        <f>ROUND($D$49*(PI()/4)*K85*K85,3)</f>
        <v>6.8000000000000005E-2</v>
      </c>
      <c r="K94" s="389">
        <f>(((PI()*$D$49^2/4)*K85)+(PI()*($D$49+$F$50)*$F$50*0.075)+(PI()*(0.71+0.08)*0.08*0.175))-J94</f>
        <v>0.22519698837790142</v>
      </c>
      <c r="L94" s="851">
        <f>ROUND($D$49*((PI()/4)*M85*M85)/2,3)</f>
        <v>5.7000000000000002E-2</v>
      </c>
      <c r="M94" s="859">
        <f>(((PI()*$D$49^2/4)*0.1)+(PI()*($D$49+$F$50)*$F$50*0.1)+(PI()*(0.86+0.08)*0.08*0.15))-L94</f>
        <v>0.12370440943448494</v>
      </c>
      <c r="N94" s="851">
        <f>ROUND($D$49*((PI()/4)*O85*O85)/2,3)</f>
        <v>0.11899999999999999</v>
      </c>
      <c r="O94" s="859">
        <f>(((PI()*$D$49^2/4)*0.1)+(PI()*($D$49+$F$50)*$F$50*0.1)+(PI()*(0.86+0.08)*0.08*0.15))-N94</f>
        <v>6.1704409434484936E-2</v>
      </c>
      <c r="P94" s="389">
        <f>ROUND($D$49*(PI()/4)*Q85*Q85,3)</f>
        <v>0.39800000000000002</v>
      </c>
      <c r="Q94" s="389">
        <f>(((PI()*$D$49^2/4)*Q85)+(PI()*($D$49+$F$50)*$F$50*0.075)+(PI()*(0.71+0.08)*0.08*0.175))-P94</f>
        <v>0.17511289381275208</v>
      </c>
      <c r="R94" s="389"/>
      <c r="S94" s="389"/>
      <c r="T94" s="389"/>
      <c r="U94" s="389"/>
      <c r="V94" s="165"/>
      <c r="W94" s="165"/>
      <c r="X94" s="165"/>
      <c r="Y94" s="165"/>
      <c r="Z94" s="165"/>
      <c r="AA94" s="165"/>
      <c r="AB94" s="165"/>
      <c r="AC94" s="165"/>
      <c r="AD94" s="165"/>
      <c r="AE94" s="165"/>
      <c r="AF94" s="165"/>
      <c r="AG94" s="165"/>
      <c r="AH94" s="165"/>
    </row>
    <row r="95" spans="1:34" hidden="1">
      <c r="A95" s="396" t="s">
        <v>128</v>
      </c>
      <c r="B95" s="396"/>
      <c r="C95" s="473" t="s">
        <v>225</v>
      </c>
      <c r="D95" s="338" t="s">
        <v>226</v>
      </c>
      <c r="E95" s="399">
        <v>2</v>
      </c>
      <c r="F95" s="863">
        <f t="shared" si="13"/>
        <v>81</v>
      </c>
      <c r="G95" s="477">
        <f t="shared" ref="G95" si="15">+ROUND(E95*F95,2)</f>
        <v>162</v>
      </c>
      <c r="H95" s="856"/>
      <c r="I95" s="851"/>
      <c r="J95" s="389"/>
      <c r="K95" s="389"/>
      <c r="L95" s="389"/>
      <c r="M95" s="389"/>
      <c r="N95" s="389"/>
      <c r="O95" s="389"/>
      <c r="P95" s="389"/>
      <c r="Q95" s="389"/>
      <c r="R95" s="540"/>
      <c r="S95" s="540"/>
      <c r="T95" s="540"/>
      <c r="U95" s="540"/>
    </row>
    <row r="96" spans="1:34" hidden="1">
      <c r="A96" s="888"/>
      <c r="B96" s="397"/>
      <c r="C96" s="480" t="s">
        <v>106</v>
      </c>
      <c r="D96" s="338" t="s">
        <v>226</v>
      </c>
      <c r="E96" s="399"/>
      <c r="F96" s="472" t="s">
        <v>154</v>
      </c>
      <c r="G96" s="865">
        <f>SUM(G89:G95)</f>
        <v>6595.26</v>
      </c>
      <c r="H96" s="860"/>
      <c r="I96" s="851"/>
      <c r="J96" s="389"/>
      <c r="K96" s="389"/>
      <c r="L96" s="389"/>
      <c r="M96" s="389"/>
      <c r="N96" s="389"/>
      <c r="O96" s="389"/>
      <c r="P96" s="389"/>
      <c r="Q96" s="389"/>
      <c r="R96" s="540"/>
      <c r="S96" s="540"/>
      <c r="T96" s="540"/>
      <c r="U96" s="540"/>
    </row>
    <row r="97" spans="1:36" hidden="1">
      <c r="A97" s="888"/>
      <c r="B97" s="397"/>
      <c r="C97" s="480"/>
      <c r="D97" s="397"/>
      <c r="E97" s="399"/>
      <c r="F97" s="472"/>
      <c r="G97" s="414"/>
      <c r="H97" s="861"/>
      <c r="I97" s="851"/>
      <c r="J97" s="389"/>
      <c r="K97" s="389"/>
      <c r="L97" s="389"/>
      <c r="M97" s="389"/>
      <c r="N97" s="389"/>
      <c r="O97" s="389"/>
      <c r="P97" s="389"/>
      <c r="Q97" s="389"/>
      <c r="R97" s="540"/>
      <c r="S97" s="540"/>
      <c r="T97" s="540"/>
      <c r="U97" s="540"/>
    </row>
    <row r="98" spans="1:36" s="197" customFormat="1" hidden="1">
      <c r="A98" s="386"/>
      <c r="B98" s="386"/>
      <c r="C98" s="481" t="s">
        <v>319</v>
      </c>
      <c r="D98" s="388"/>
      <c r="E98" s="387"/>
      <c r="F98" s="475"/>
      <c r="G98" s="482"/>
      <c r="H98" s="861"/>
      <c r="I98" s="850"/>
      <c r="J98" s="384"/>
      <c r="K98" s="384"/>
      <c r="L98" s="384"/>
      <c r="M98" s="384"/>
      <c r="N98" s="384"/>
      <c r="O98" s="384"/>
      <c r="P98" s="384"/>
      <c r="Q98" s="384"/>
      <c r="R98" s="657"/>
      <c r="S98" s="657"/>
      <c r="T98" s="657"/>
      <c r="U98" s="657"/>
    </row>
    <row r="99" spans="1:36" s="197" customFormat="1" hidden="1">
      <c r="A99" s="386"/>
      <c r="B99" s="386"/>
      <c r="C99" s="481" t="s">
        <v>320</v>
      </c>
      <c r="D99" s="388" t="s">
        <v>109</v>
      </c>
      <c r="E99" s="483">
        <f>ROUND(E89*0.9+E94*0.9,2)</f>
        <v>0.35</v>
      </c>
      <c r="F99" s="475">
        <v>97.5</v>
      </c>
      <c r="G99" s="475">
        <v>0</v>
      </c>
      <c r="H99" s="850"/>
      <c r="I99" s="862">
        <f>ROUND(I89*0.9+I94*0.9,2)</f>
        <v>0.44</v>
      </c>
      <c r="J99" s="483"/>
      <c r="K99" s="483">
        <f>ROUND(K89*0.9+K94*0.9,2)</f>
        <v>0.49</v>
      </c>
      <c r="L99" s="384"/>
      <c r="M99" s="483">
        <f>ROUND(M89*0.9+M94*0.9,2)</f>
        <v>0.4</v>
      </c>
      <c r="N99" s="384"/>
      <c r="O99" s="483"/>
      <c r="P99" s="384"/>
      <c r="Q99" s="483"/>
      <c r="R99" s="657"/>
      <c r="S99" s="657"/>
      <c r="T99" s="657"/>
      <c r="U99" s="657"/>
    </row>
    <row r="100" spans="1:36" s="197" customFormat="1" hidden="1">
      <c r="A100" s="386"/>
      <c r="B100" s="386"/>
      <c r="C100" s="481" t="s">
        <v>321</v>
      </c>
      <c r="D100" s="388" t="s">
        <v>109</v>
      </c>
      <c r="E100" s="483">
        <f>ROUND((E90+E91)*0.2+(E92*0.015+E93*0.021)+(E89+E94)*0.45,2)</f>
        <v>0.31</v>
      </c>
      <c r="F100" s="475">
        <v>40</v>
      </c>
      <c r="G100" s="475">
        <v>0</v>
      </c>
      <c r="H100" s="850"/>
      <c r="I100" s="862">
        <f>ROUND((I90+I91)*0.2+(I92*0.015+I93*0.021)+(I89+I94)*0.45,2)</f>
        <v>0.4</v>
      </c>
      <c r="J100" s="483"/>
      <c r="K100" s="483">
        <f>ROUND((K90+K91)*0.2+(K92*0.015+K93*0.021)+(K89+K94)*0.45,2)</f>
        <v>0.44</v>
      </c>
      <c r="L100" s="384"/>
      <c r="M100" s="483">
        <f>ROUND((M90+M91)*0.2+(M92*0.015+M93*0.021)+(M89+M94)*0.45,2)</f>
        <v>0.36</v>
      </c>
      <c r="N100" s="384"/>
      <c r="O100" s="483"/>
      <c r="P100" s="384"/>
      <c r="Q100" s="483"/>
      <c r="R100" s="657"/>
      <c r="S100" s="657"/>
      <c r="T100" s="657"/>
      <c r="U100" s="657"/>
    </row>
    <row r="101" spans="1:36" s="197" customFormat="1" hidden="1">
      <c r="A101" s="386"/>
      <c r="B101" s="386"/>
      <c r="C101" s="481" t="s">
        <v>273</v>
      </c>
      <c r="D101" s="388"/>
      <c r="E101" s="387"/>
      <c r="F101" s="475" t="s">
        <v>154</v>
      </c>
      <c r="G101" s="870">
        <f>SUM(G96:G100)</f>
        <v>6595.26</v>
      </c>
      <c r="H101" s="384"/>
      <c r="I101" s="387"/>
      <c r="J101" s="387"/>
      <c r="K101" s="387"/>
      <c r="L101" s="384"/>
      <c r="M101" s="387"/>
      <c r="N101" s="384"/>
      <c r="O101" s="387"/>
      <c r="P101" s="384"/>
      <c r="Q101" s="387"/>
      <c r="R101" s="657"/>
      <c r="S101" s="657"/>
      <c r="T101" s="657"/>
      <c r="U101" s="657"/>
    </row>
    <row r="102" spans="1:36" s="197" customFormat="1" hidden="1">
      <c r="A102" s="386"/>
      <c r="B102" s="386"/>
      <c r="C102" s="481"/>
      <c r="D102" s="388"/>
      <c r="E102" s="387"/>
      <c r="F102" s="475"/>
      <c r="G102" s="870"/>
      <c r="H102" s="384"/>
      <c r="I102" s="387"/>
      <c r="J102" s="387"/>
      <c r="K102" s="387"/>
      <c r="L102" s="384"/>
      <c r="M102" s="387"/>
      <c r="N102" s="384"/>
      <c r="O102" s="387"/>
      <c r="P102" s="384"/>
      <c r="Q102" s="387"/>
      <c r="R102" s="657"/>
      <c r="S102" s="657"/>
      <c r="T102" s="657"/>
      <c r="U102" s="657"/>
    </row>
    <row r="103" spans="1:36" ht="151.5" customHeight="1">
      <c r="A103" s="396"/>
      <c r="B103" s="804">
        <v>2</v>
      </c>
      <c r="C103" s="864" t="s">
        <v>1238</v>
      </c>
      <c r="D103" s="338"/>
      <c r="E103" s="399"/>
      <c r="F103" s="472"/>
      <c r="G103" s="477"/>
      <c r="H103" s="389"/>
      <c r="I103" s="389"/>
      <c r="J103" s="389"/>
      <c r="K103" s="389"/>
      <c r="L103" s="389"/>
      <c r="M103" s="389"/>
      <c r="N103" s="389"/>
      <c r="O103" s="389"/>
      <c r="P103" s="389"/>
      <c r="Q103" s="389"/>
      <c r="R103" s="540"/>
      <c r="S103" s="540"/>
      <c r="T103" s="540"/>
      <c r="U103" s="540"/>
      <c r="AI103" s="141">
        <v>250</v>
      </c>
      <c r="AJ103" s="141">
        <v>4163</v>
      </c>
    </row>
    <row r="104" spans="1:36">
      <c r="A104" s="396"/>
      <c r="B104" s="389"/>
      <c r="C104" s="474" t="s">
        <v>864</v>
      </c>
      <c r="D104" s="338"/>
      <c r="E104" s="399"/>
      <c r="F104" s="472"/>
      <c r="G104" s="477"/>
      <c r="H104" s="389"/>
      <c r="I104" s="389"/>
      <c r="J104" s="389"/>
      <c r="K104" s="389"/>
      <c r="L104" s="389"/>
      <c r="M104" s="389"/>
      <c r="N104" s="389"/>
      <c r="O104" s="389"/>
      <c r="P104" s="389"/>
      <c r="Q104" s="389"/>
      <c r="R104" s="540"/>
      <c r="S104" s="540"/>
      <c r="T104" s="540"/>
      <c r="U104" s="540"/>
    </row>
    <row r="105" spans="1:36" ht="26.25" customHeight="1">
      <c r="A105" s="396"/>
      <c r="B105" s="389"/>
      <c r="C105" s="474" t="str">
        <f>CONCATENATE("2nd ClassBrick Masonory work  in cm (1: 6) )portion for Uniform Section PIx1.13x0.23x0.10 =",E105)</f>
        <v>2nd ClassBrick Masonory work  in cm (1: 6) )portion for Uniform Section PIx1.13x0.23x0.10 =0.531</v>
      </c>
      <c r="D105" s="805" t="s">
        <v>109</v>
      </c>
      <c r="E105" s="489">
        <f>ROUND(PI()*(D49+F50)*F50*0.65,3)</f>
        <v>0.53100000000000003</v>
      </c>
      <c r="F105" s="863">
        <f>F91</f>
        <v>8504.4699999999993</v>
      </c>
      <c r="G105" s="477">
        <f>+ROUND(E105*F105,2)</f>
        <v>4515.87</v>
      </c>
      <c r="H105" s="389"/>
      <c r="I105" s="389"/>
      <c r="J105" s="389"/>
      <c r="K105" s="389"/>
      <c r="L105" s="389"/>
      <c r="M105" s="389"/>
      <c r="N105" s="389"/>
      <c r="O105" s="389"/>
      <c r="P105" s="389"/>
      <c r="Q105" s="389"/>
      <c r="R105" s="540"/>
      <c r="S105" s="540"/>
      <c r="T105" s="540"/>
      <c r="U105" s="540"/>
    </row>
    <row r="106" spans="1:36" ht="25.5">
      <c r="A106" s="396"/>
      <c r="B106" s="389"/>
      <c r="C106" s="474" t="str">
        <f>CONCATENATE("External Plastering in CM(1:4) of 12 mm thick vertical portion PIx1.36x0..10=",E106)</f>
        <v>External Plastering in CM(1:4) of 12 mm thick vertical portion PIx1.36x0..10=2.777</v>
      </c>
      <c r="D106" s="805" t="s">
        <v>224</v>
      </c>
      <c r="E106" s="489">
        <f>ROUND(PI()*(D49+(2*F50))*0.65,3)</f>
        <v>2.7770000000000001</v>
      </c>
      <c r="F106" s="863">
        <f>'Datas P7'!G298</f>
        <v>170.45499999999998</v>
      </c>
      <c r="G106" s="477">
        <f>+ROUND(E106*F106,2)</f>
        <v>473.35</v>
      </c>
      <c r="H106" s="389"/>
      <c r="I106" s="389"/>
      <c r="J106" s="389"/>
      <c r="K106" s="389"/>
      <c r="L106" s="389"/>
      <c r="M106" s="389"/>
      <c r="N106" s="389"/>
      <c r="O106" s="389"/>
      <c r="P106" s="389"/>
      <c r="Q106" s="389"/>
      <c r="R106" s="540"/>
      <c r="S106" s="540"/>
      <c r="T106" s="540"/>
      <c r="U106" s="540"/>
    </row>
    <row r="107" spans="1:36" ht="25.5">
      <c r="A107" s="396"/>
      <c r="B107" s="389"/>
      <c r="C107" s="474" t="str">
        <f>CONCATENATE("Internal Plastering in CM(1:4) of 20 mm thick uniform portion PIx0.90x0.10=",E107)</f>
        <v>Internal Plastering in CM(1:4) of 20 mm thick uniform portion PIx0.90x0.10=1.838</v>
      </c>
      <c r="D107" s="805" t="s">
        <v>224</v>
      </c>
      <c r="E107" s="489">
        <f>ROUND(PI()*D49*0.65,3)</f>
        <v>1.8380000000000001</v>
      </c>
      <c r="F107" s="863">
        <f>'Datas P7'!G309</f>
        <v>259.48599999999999</v>
      </c>
      <c r="G107" s="477">
        <f>+ROUND(E107*F107,2)</f>
        <v>476.94</v>
      </c>
      <c r="H107" s="389"/>
      <c r="I107" s="389"/>
      <c r="J107" s="389"/>
      <c r="K107" s="389"/>
      <c r="L107" s="389"/>
      <c r="M107" s="389"/>
      <c r="N107" s="389"/>
      <c r="O107" s="389"/>
      <c r="P107" s="389"/>
      <c r="Q107" s="389"/>
      <c r="R107" s="540"/>
      <c r="S107" s="540"/>
      <c r="T107" s="540"/>
      <c r="U107" s="540"/>
    </row>
    <row r="108" spans="1:36">
      <c r="A108" s="396"/>
      <c r="B108" s="389"/>
      <c r="C108" s="474" t="s">
        <v>225</v>
      </c>
      <c r="D108" s="805" t="s">
        <v>10</v>
      </c>
      <c r="E108" s="489">
        <v>1</v>
      </c>
      <c r="F108" s="863">
        <f>F59</f>
        <v>81</v>
      </c>
      <c r="G108" s="477">
        <f>+ROUND(E108*F108/10,2)</f>
        <v>8.1</v>
      </c>
      <c r="H108" s="389"/>
      <c r="I108" s="389"/>
      <c r="J108" s="389"/>
      <c r="K108" s="389"/>
      <c r="L108" s="389"/>
      <c r="M108" s="389"/>
      <c r="N108" s="389"/>
      <c r="O108" s="389"/>
      <c r="P108" s="389"/>
      <c r="Q108" s="389"/>
      <c r="R108" s="540"/>
      <c r="S108" s="540"/>
      <c r="T108" s="540"/>
      <c r="U108" s="540"/>
    </row>
    <row r="109" spans="1:36" s="197" customFormat="1">
      <c r="A109" s="386"/>
      <c r="B109" s="386"/>
      <c r="C109" s="481" t="s">
        <v>319</v>
      </c>
      <c r="D109" s="388"/>
      <c r="E109" s="387"/>
      <c r="F109" s="475"/>
      <c r="G109" s="482"/>
      <c r="H109" s="384"/>
      <c r="I109" s="384"/>
      <c r="J109" s="384"/>
      <c r="K109" s="384"/>
      <c r="L109" s="384"/>
      <c r="M109" s="384"/>
      <c r="N109" s="384"/>
      <c r="O109" s="384"/>
      <c r="P109" s="384"/>
      <c r="Q109" s="384"/>
      <c r="R109" s="657"/>
      <c r="S109" s="657"/>
      <c r="T109" s="657"/>
      <c r="U109" s="657"/>
    </row>
    <row r="110" spans="1:36" s="197" customFormat="1">
      <c r="A110" s="386"/>
      <c r="B110" s="386"/>
      <c r="C110" s="481" t="s">
        <v>321</v>
      </c>
      <c r="D110" s="388" t="s">
        <v>109</v>
      </c>
      <c r="E110" s="483">
        <f>E106*0.015+E107*0.021</f>
        <v>8.0253000000000005E-2</v>
      </c>
      <c r="F110" s="475">
        <f>F63</f>
        <v>40</v>
      </c>
      <c r="G110" s="475">
        <v>0</v>
      </c>
      <c r="H110" s="384"/>
      <c r="I110" s="384"/>
      <c r="J110" s="384"/>
      <c r="K110" s="384"/>
      <c r="L110" s="384"/>
      <c r="M110" s="384"/>
      <c r="N110" s="384"/>
      <c r="O110" s="384"/>
      <c r="P110" s="384"/>
      <c r="Q110" s="384"/>
      <c r="R110" s="657"/>
      <c r="S110" s="657"/>
      <c r="T110" s="657"/>
      <c r="U110" s="657"/>
    </row>
    <row r="111" spans="1:36" s="197" customFormat="1">
      <c r="A111" s="386"/>
      <c r="B111" s="386"/>
      <c r="C111" s="481"/>
      <c r="D111" s="388"/>
      <c r="E111" s="483"/>
      <c r="F111" s="475"/>
      <c r="G111" s="414">
        <f>SUM(G104:G109)</f>
        <v>5474.26</v>
      </c>
      <c r="H111" s="384"/>
      <c r="I111" s="384"/>
      <c r="J111" s="384"/>
      <c r="K111" s="384"/>
      <c r="L111" s="384"/>
      <c r="M111" s="384"/>
      <c r="N111" s="384"/>
      <c r="O111" s="384"/>
      <c r="P111" s="384"/>
      <c r="Q111" s="384"/>
      <c r="R111" s="657"/>
      <c r="S111" s="657"/>
      <c r="T111" s="657"/>
      <c r="U111" s="657"/>
    </row>
    <row r="112" spans="1:36">
      <c r="A112" s="396"/>
      <c r="B112" s="389"/>
      <c r="C112" s="480" t="s">
        <v>1033</v>
      </c>
      <c r="D112" s="338"/>
      <c r="E112" s="399"/>
      <c r="F112" s="472"/>
      <c r="G112" s="865">
        <f>ROUND(G111*0.1/0.65,2)</f>
        <v>842.19</v>
      </c>
      <c r="H112" s="389"/>
      <c r="I112" s="389"/>
      <c r="J112" s="389"/>
      <c r="K112" s="389"/>
      <c r="L112" s="389"/>
      <c r="M112" s="389"/>
      <c r="N112" s="389"/>
      <c r="O112" s="389"/>
      <c r="P112" s="389"/>
      <c r="Q112" s="389"/>
      <c r="R112" s="540"/>
      <c r="S112" s="540"/>
      <c r="T112" s="540"/>
      <c r="U112" s="540"/>
    </row>
    <row r="113" spans="1:21">
      <c r="A113" s="396"/>
      <c r="B113" s="389"/>
      <c r="C113" s="480" t="s">
        <v>441</v>
      </c>
      <c r="D113" s="338"/>
      <c r="E113" s="399"/>
      <c r="F113" s="472"/>
      <c r="G113" s="491"/>
      <c r="H113" s="491"/>
      <c r="I113" s="491"/>
      <c r="J113" s="389"/>
      <c r="K113" s="389"/>
      <c r="L113" s="389"/>
      <c r="M113" s="389"/>
      <c r="N113" s="389"/>
      <c r="O113" s="389"/>
      <c r="P113" s="389"/>
      <c r="Q113" s="389"/>
      <c r="R113" s="540"/>
      <c r="S113" s="540"/>
      <c r="T113" s="540"/>
      <c r="U113" s="540"/>
    </row>
    <row r="114" spans="1:21" s="760" customFormat="1" ht="38.25">
      <c r="A114" s="708"/>
      <c r="B114" s="484" t="s">
        <v>443</v>
      </c>
      <c r="C114" s="708" t="s">
        <v>456</v>
      </c>
      <c r="D114" s="382" t="s">
        <v>310</v>
      </c>
      <c r="E114" s="485" t="s">
        <v>442</v>
      </c>
      <c r="F114" s="486" t="s">
        <v>444</v>
      </c>
      <c r="G114" s="414" t="s">
        <v>511</v>
      </c>
      <c r="H114" s="414"/>
      <c r="I114" s="414"/>
      <c r="J114" s="487"/>
      <c r="K114" s="487"/>
      <c r="L114" s="487"/>
      <c r="M114" s="487"/>
      <c r="N114" s="487"/>
      <c r="O114" s="487"/>
      <c r="P114" s="487"/>
      <c r="Q114" s="487"/>
      <c r="R114" s="658"/>
      <c r="S114" s="658"/>
      <c r="T114" s="658"/>
      <c r="U114" s="658"/>
    </row>
    <row r="115" spans="1:21">
      <c r="A115" s="396"/>
      <c r="B115" s="338">
        <f t="shared" ref="B115:B123" si="16">B116-0.5</f>
        <v>-5</v>
      </c>
      <c r="C115" s="488" t="s">
        <v>475</v>
      </c>
      <c r="D115" s="385">
        <f>Lead!$Q$27</f>
        <v>0.13614999999999999</v>
      </c>
      <c r="E115" s="399">
        <f>$G$64</f>
        <v>8246.7799999999988</v>
      </c>
      <c r="F115" s="399">
        <f>$G$112</f>
        <v>842.19</v>
      </c>
      <c r="G115" s="382">
        <f>ROUND((E115+B115*F115)+(E115+B115*F115)*D115,2)</f>
        <v>4585.3100000000004</v>
      </c>
      <c r="H115" s="382"/>
      <c r="I115" s="382"/>
      <c r="J115" s="389"/>
      <c r="K115" s="389"/>
      <c r="L115" s="389"/>
      <c r="M115" s="389"/>
      <c r="N115" s="389"/>
      <c r="O115" s="389"/>
      <c r="P115" s="389"/>
      <c r="Q115" s="389"/>
      <c r="R115" s="540"/>
      <c r="S115" s="540"/>
      <c r="T115" s="540"/>
      <c r="U115" s="540"/>
    </row>
    <row r="116" spans="1:21">
      <c r="A116" s="396"/>
      <c r="B116" s="338">
        <f t="shared" si="16"/>
        <v>-4.5</v>
      </c>
      <c r="C116" s="488" t="s">
        <v>476</v>
      </c>
      <c r="D116" s="385">
        <f>Lead!$Q$27</f>
        <v>0.13614999999999999</v>
      </c>
      <c r="E116" s="399">
        <f t="shared" ref="E116:E132" si="17">$G$64</f>
        <v>8246.7799999999988</v>
      </c>
      <c r="F116" s="399">
        <f t="shared" ref="F116:F132" si="18">$G$112</f>
        <v>842.19</v>
      </c>
      <c r="G116" s="382">
        <f t="shared" ref="G116:G132" si="19">ROUND((E116+B116*F116)+(E116+B116*F116)*D116,2)</f>
        <v>5063.74</v>
      </c>
      <c r="H116" s="382"/>
      <c r="I116" s="382"/>
      <c r="J116" s="389"/>
      <c r="K116" s="389"/>
      <c r="L116" s="389"/>
      <c r="M116" s="389"/>
      <c r="N116" s="389"/>
      <c r="O116" s="389"/>
      <c r="P116" s="389"/>
      <c r="Q116" s="389"/>
      <c r="R116" s="540"/>
      <c r="S116" s="540"/>
      <c r="T116" s="540"/>
      <c r="U116" s="540"/>
    </row>
    <row r="117" spans="1:21">
      <c r="A117" s="396"/>
      <c r="B117" s="338">
        <f t="shared" si="16"/>
        <v>-4</v>
      </c>
      <c r="C117" s="488" t="s">
        <v>477</v>
      </c>
      <c r="D117" s="385">
        <f>Lead!$Q$27</f>
        <v>0.13614999999999999</v>
      </c>
      <c r="E117" s="399">
        <f t="shared" si="17"/>
        <v>8246.7799999999988</v>
      </c>
      <c r="F117" s="399">
        <f t="shared" si="18"/>
        <v>842.19</v>
      </c>
      <c r="G117" s="382">
        <f t="shared" si="19"/>
        <v>5542.16</v>
      </c>
      <c r="H117" s="382"/>
      <c r="I117" s="382"/>
      <c r="J117" s="389"/>
      <c r="K117" s="389"/>
      <c r="L117" s="389"/>
      <c r="M117" s="389"/>
      <c r="N117" s="389"/>
      <c r="O117" s="389"/>
      <c r="P117" s="389"/>
      <c r="Q117" s="389"/>
      <c r="R117" s="540"/>
      <c r="S117" s="540"/>
      <c r="T117" s="540"/>
      <c r="U117" s="540"/>
    </row>
    <row r="118" spans="1:21">
      <c r="A118" s="396"/>
      <c r="B118" s="338">
        <f t="shared" si="16"/>
        <v>-3.5</v>
      </c>
      <c r="C118" s="488" t="s">
        <v>478</v>
      </c>
      <c r="D118" s="385">
        <f>Lead!$Q$27</f>
        <v>0.13614999999999999</v>
      </c>
      <c r="E118" s="399">
        <f t="shared" si="17"/>
        <v>8246.7799999999988</v>
      </c>
      <c r="F118" s="399">
        <f t="shared" si="18"/>
        <v>842.19</v>
      </c>
      <c r="G118" s="382">
        <f t="shared" si="19"/>
        <v>6020.59</v>
      </c>
      <c r="H118" s="382"/>
      <c r="I118" s="382"/>
      <c r="J118" s="389"/>
      <c r="K118" s="389"/>
      <c r="L118" s="389"/>
      <c r="M118" s="389"/>
      <c r="N118" s="389"/>
      <c r="O118" s="389"/>
      <c r="P118" s="389"/>
      <c r="Q118" s="389"/>
      <c r="R118" s="540"/>
      <c r="S118" s="540"/>
      <c r="T118" s="540"/>
      <c r="U118" s="540"/>
    </row>
    <row r="119" spans="1:21">
      <c r="A119" s="396"/>
      <c r="B119" s="338">
        <f t="shared" si="16"/>
        <v>-3</v>
      </c>
      <c r="C119" s="488" t="s">
        <v>479</v>
      </c>
      <c r="D119" s="385">
        <f>Lead!$Q$27</f>
        <v>0.13614999999999999</v>
      </c>
      <c r="E119" s="399">
        <f t="shared" si="17"/>
        <v>8246.7799999999988</v>
      </c>
      <c r="F119" s="399">
        <f t="shared" si="18"/>
        <v>842.19</v>
      </c>
      <c r="G119" s="382">
        <f t="shared" si="19"/>
        <v>6499.02</v>
      </c>
      <c r="H119" s="382"/>
      <c r="I119" s="382"/>
      <c r="J119" s="389"/>
      <c r="K119" s="389"/>
      <c r="L119" s="389"/>
      <c r="M119" s="389"/>
      <c r="N119" s="389"/>
      <c r="O119" s="389"/>
      <c r="P119" s="389"/>
      <c r="Q119" s="389"/>
      <c r="R119" s="540"/>
      <c r="S119" s="540"/>
      <c r="T119" s="540"/>
      <c r="U119" s="540"/>
    </row>
    <row r="120" spans="1:21">
      <c r="A120" s="396"/>
      <c r="B120" s="338">
        <f t="shared" si="16"/>
        <v>-2.5</v>
      </c>
      <c r="C120" s="488" t="s">
        <v>480</v>
      </c>
      <c r="D120" s="385">
        <f>Lead!$Q$27</f>
        <v>0.13614999999999999</v>
      </c>
      <c r="E120" s="399">
        <f t="shared" si="17"/>
        <v>8246.7799999999988</v>
      </c>
      <c r="F120" s="399">
        <f t="shared" si="18"/>
        <v>842.19</v>
      </c>
      <c r="G120" s="382">
        <f t="shared" si="19"/>
        <v>6977.44</v>
      </c>
      <c r="H120" s="382"/>
      <c r="I120" s="382"/>
      <c r="J120" s="389"/>
      <c r="K120" s="389"/>
      <c r="L120" s="389"/>
      <c r="M120" s="389"/>
      <c r="N120" s="389"/>
      <c r="O120" s="389"/>
      <c r="P120" s="389"/>
      <c r="Q120" s="389"/>
      <c r="R120" s="540"/>
      <c r="S120" s="540"/>
      <c r="T120" s="540"/>
      <c r="U120" s="540"/>
    </row>
    <row r="121" spans="1:21">
      <c r="A121" s="396"/>
      <c r="B121" s="338">
        <f t="shared" si="16"/>
        <v>-2</v>
      </c>
      <c r="C121" s="488" t="s">
        <v>481</v>
      </c>
      <c r="D121" s="385">
        <f>Lead!$Q$27</f>
        <v>0.13614999999999999</v>
      </c>
      <c r="E121" s="399">
        <f t="shared" si="17"/>
        <v>8246.7799999999988</v>
      </c>
      <c r="F121" s="399">
        <f t="shared" si="18"/>
        <v>842.19</v>
      </c>
      <c r="G121" s="382">
        <f t="shared" si="19"/>
        <v>7455.87</v>
      </c>
      <c r="H121" s="382"/>
      <c r="I121" s="382"/>
      <c r="J121" s="389"/>
      <c r="K121" s="389"/>
      <c r="L121" s="389"/>
      <c r="M121" s="389"/>
      <c r="N121" s="389"/>
      <c r="O121" s="389"/>
      <c r="P121" s="389"/>
      <c r="Q121" s="389"/>
      <c r="R121" s="540"/>
      <c r="S121" s="540"/>
      <c r="T121" s="540"/>
      <c r="U121" s="540"/>
    </row>
    <row r="122" spans="1:21">
      <c r="A122" s="396"/>
      <c r="B122" s="338">
        <f t="shared" si="16"/>
        <v>-1.5</v>
      </c>
      <c r="C122" s="488" t="s">
        <v>482</v>
      </c>
      <c r="D122" s="385">
        <f>Lead!$Q$27</f>
        <v>0.13614999999999999</v>
      </c>
      <c r="E122" s="399">
        <f t="shared" si="17"/>
        <v>8246.7799999999988</v>
      </c>
      <c r="F122" s="399">
        <f t="shared" si="18"/>
        <v>842.19</v>
      </c>
      <c r="G122" s="382">
        <f t="shared" si="19"/>
        <v>7934.3</v>
      </c>
      <c r="H122" s="382"/>
      <c r="I122" s="382"/>
      <c r="J122" s="389"/>
      <c r="K122" s="389"/>
      <c r="L122" s="389"/>
      <c r="M122" s="389"/>
      <c r="N122" s="389"/>
      <c r="O122" s="389"/>
      <c r="P122" s="389"/>
      <c r="Q122" s="389"/>
      <c r="R122" s="540"/>
      <c r="S122" s="540"/>
      <c r="T122" s="540"/>
      <c r="U122" s="540"/>
    </row>
    <row r="123" spans="1:21">
      <c r="A123" s="396"/>
      <c r="B123" s="338">
        <f t="shared" si="16"/>
        <v>-1</v>
      </c>
      <c r="C123" s="488" t="s">
        <v>483</v>
      </c>
      <c r="D123" s="385">
        <f>Lead!$Q$27</f>
        <v>0.13614999999999999</v>
      </c>
      <c r="E123" s="399">
        <f t="shared" si="17"/>
        <v>8246.7799999999988</v>
      </c>
      <c r="F123" s="399">
        <f t="shared" si="18"/>
        <v>842.19</v>
      </c>
      <c r="G123" s="382">
        <f t="shared" si="19"/>
        <v>8412.7199999999993</v>
      </c>
      <c r="H123" s="382"/>
      <c r="I123" s="382"/>
      <c r="J123" s="389"/>
      <c r="K123" s="389"/>
      <c r="L123" s="389"/>
      <c r="M123" s="389"/>
      <c r="N123" s="389"/>
      <c r="O123" s="389"/>
      <c r="P123" s="389"/>
      <c r="Q123" s="389"/>
      <c r="R123" s="540"/>
      <c r="S123" s="540"/>
      <c r="T123" s="540"/>
      <c r="U123" s="540"/>
    </row>
    <row r="124" spans="1:21">
      <c r="A124" s="396"/>
      <c r="B124" s="338">
        <f>B125-0.5</f>
        <v>-0.5</v>
      </c>
      <c r="C124" s="488" t="s">
        <v>484</v>
      </c>
      <c r="D124" s="385">
        <f>Lead!$Q$27</f>
        <v>0.13614999999999999</v>
      </c>
      <c r="E124" s="399">
        <f t="shared" si="17"/>
        <v>8246.7799999999988</v>
      </c>
      <c r="F124" s="399">
        <f t="shared" si="18"/>
        <v>842.19</v>
      </c>
      <c r="G124" s="382">
        <f t="shared" si="19"/>
        <v>8891.15</v>
      </c>
      <c r="H124" s="382"/>
      <c r="I124" s="382"/>
      <c r="J124" s="389"/>
      <c r="K124" s="389"/>
      <c r="L124" s="389"/>
      <c r="M124" s="389"/>
      <c r="N124" s="389"/>
      <c r="O124" s="389"/>
      <c r="P124" s="389"/>
      <c r="Q124" s="389"/>
      <c r="R124" s="540"/>
      <c r="S124" s="540"/>
      <c r="T124" s="540"/>
      <c r="U124" s="540"/>
    </row>
    <row r="125" spans="1:21">
      <c r="A125" s="396"/>
      <c r="B125" s="338">
        <v>0</v>
      </c>
      <c r="C125" s="488" t="s">
        <v>485</v>
      </c>
      <c r="D125" s="385">
        <f>Lead!$Q$27</f>
        <v>0.13614999999999999</v>
      </c>
      <c r="E125" s="399">
        <f t="shared" si="17"/>
        <v>8246.7799999999988</v>
      </c>
      <c r="F125" s="399">
        <f t="shared" si="18"/>
        <v>842.19</v>
      </c>
      <c r="G125" s="382">
        <f t="shared" si="19"/>
        <v>9369.58</v>
      </c>
      <c r="H125" s="382"/>
      <c r="I125" s="382"/>
      <c r="J125" s="389"/>
      <c r="K125" s="389"/>
      <c r="L125" s="389"/>
      <c r="M125" s="389"/>
      <c r="N125" s="389"/>
      <c r="O125" s="389"/>
      <c r="P125" s="389"/>
      <c r="Q125" s="389"/>
      <c r="R125" s="540"/>
      <c r="S125" s="540"/>
      <c r="T125" s="540"/>
      <c r="U125" s="540"/>
    </row>
    <row r="126" spans="1:21">
      <c r="A126" s="396"/>
      <c r="B126" s="338">
        <f t="shared" ref="B126:B132" si="20">B125+0.5</f>
        <v>0.5</v>
      </c>
      <c r="C126" s="488" t="s">
        <v>486</v>
      </c>
      <c r="D126" s="385">
        <f>Lead!$Q$27</f>
        <v>0.13614999999999999</v>
      </c>
      <c r="E126" s="399">
        <f t="shared" si="17"/>
        <v>8246.7799999999988</v>
      </c>
      <c r="F126" s="399">
        <f t="shared" si="18"/>
        <v>842.19</v>
      </c>
      <c r="G126" s="382">
        <f t="shared" si="19"/>
        <v>9848.01</v>
      </c>
      <c r="H126" s="382"/>
      <c r="I126" s="382"/>
      <c r="J126" s="389"/>
      <c r="K126" s="389"/>
      <c r="L126" s="389"/>
      <c r="M126" s="389"/>
      <c r="N126" s="389"/>
      <c r="O126" s="389"/>
      <c r="P126" s="389"/>
      <c r="Q126" s="389"/>
      <c r="R126" s="540"/>
      <c r="S126" s="540"/>
      <c r="T126" s="540"/>
      <c r="U126" s="540"/>
    </row>
    <row r="127" spans="1:21">
      <c r="A127" s="396"/>
      <c r="B127" s="338">
        <f t="shared" si="20"/>
        <v>1</v>
      </c>
      <c r="C127" s="488" t="s">
        <v>487</v>
      </c>
      <c r="D127" s="385">
        <f>Lead!$Q$27</f>
        <v>0.13614999999999999</v>
      </c>
      <c r="E127" s="399">
        <f t="shared" si="17"/>
        <v>8246.7799999999988</v>
      </c>
      <c r="F127" s="399">
        <f t="shared" si="18"/>
        <v>842.19</v>
      </c>
      <c r="G127" s="382">
        <f t="shared" si="19"/>
        <v>10326.43</v>
      </c>
      <c r="H127" s="382"/>
      <c r="I127" s="382"/>
      <c r="J127" s="389"/>
      <c r="K127" s="389"/>
      <c r="L127" s="389"/>
      <c r="M127" s="389"/>
      <c r="N127" s="389"/>
      <c r="O127" s="389"/>
      <c r="P127" s="389"/>
      <c r="Q127" s="389"/>
      <c r="R127" s="540"/>
      <c r="S127" s="540"/>
      <c r="T127" s="540"/>
      <c r="U127" s="540"/>
    </row>
    <row r="128" spans="1:21">
      <c r="A128" s="396"/>
      <c r="B128" s="338">
        <f t="shared" si="20"/>
        <v>1.5</v>
      </c>
      <c r="C128" s="488" t="s">
        <v>488</v>
      </c>
      <c r="D128" s="385">
        <f>Lead!$Q$27</f>
        <v>0.13614999999999999</v>
      </c>
      <c r="E128" s="399">
        <f t="shared" si="17"/>
        <v>8246.7799999999988</v>
      </c>
      <c r="F128" s="399">
        <f t="shared" si="18"/>
        <v>842.19</v>
      </c>
      <c r="G128" s="382">
        <f t="shared" si="19"/>
        <v>10804.86</v>
      </c>
      <c r="H128" s="382"/>
      <c r="I128" s="382"/>
      <c r="J128" s="389"/>
      <c r="K128" s="389"/>
      <c r="L128" s="389"/>
      <c r="M128" s="389"/>
      <c r="N128" s="389"/>
      <c r="O128" s="389"/>
      <c r="P128" s="389"/>
      <c r="Q128" s="389"/>
      <c r="R128" s="540"/>
      <c r="S128" s="540"/>
      <c r="T128" s="540"/>
      <c r="U128" s="540"/>
    </row>
    <row r="129" spans="1:57">
      <c r="A129" s="396"/>
      <c r="B129" s="338">
        <f t="shared" si="20"/>
        <v>2</v>
      </c>
      <c r="C129" s="488" t="s">
        <v>489</v>
      </c>
      <c r="D129" s="385">
        <f>Lead!$Q$27</f>
        <v>0.13614999999999999</v>
      </c>
      <c r="E129" s="399">
        <f t="shared" si="17"/>
        <v>8246.7799999999988</v>
      </c>
      <c r="F129" s="399">
        <f t="shared" si="18"/>
        <v>842.19</v>
      </c>
      <c r="G129" s="382">
        <f t="shared" si="19"/>
        <v>11283.29</v>
      </c>
      <c r="H129" s="382"/>
      <c r="I129" s="382"/>
      <c r="J129" s="389"/>
      <c r="K129" s="389"/>
      <c r="L129" s="389"/>
      <c r="M129" s="389"/>
      <c r="N129" s="389"/>
      <c r="O129" s="389"/>
      <c r="P129" s="389"/>
      <c r="Q129" s="389"/>
      <c r="R129" s="540"/>
      <c r="S129" s="540"/>
      <c r="T129" s="540"/>
      <c r="U129" s="540"/>
    </row>
    <row r="130" spans="1:57">
      <c r="A130" s="396"/>
      <c r="B130" s="338">
        <f t="shared" si="20"/>
        <v>2.5</v>
      </c>
      <c r="C130" s="488" t="s">
        <v>490</v>
      </c>
      <c r="D130" s="385">
        <f>Lead!$Q$27</f>
        <v>0.13614999999999999</v>
      </c>
      <c r="E130" s="399">
        <f t="shared" si="17"/>
        <v>8246.7799999999988</v>
      </c>
      <c r="F130" s="399">
        <f t="shared" si="18"/>
        <v>842.19</v>
      </c>
      <c r="G130" s="382">
        <f t="shared" si="19"/>
        <v>11761.71</v>
      </c>
      <c r="H130" s="382"/>
      <c r="I130" s="382"/>
      <c r="J130" s="389"/>
      <c r="K130" s="389"/>
      <c r="L130" s="389"/>
      <c r="M130" s="389"/>
      <c r="N130" s="389"/>
      <c r="O130" s="389"/>
      <c r="P130" s="389"/>
      <c r="Q130" s="389"/>
      <c r="R130" s="540"/>
      <c r="S130" s="540"/>
      <c r="T130" s="540"/>
      <c r="U130" s="540"/>
    </row>
    <row r="131" spans="1:57">
      <c r="A131" s="396"/>
      <c r="B131" s="338">
        <f t="shared" si="20"/>
        <v>3</v>
      </c>
      <c r="C131" s="488" t="s">
        <v>491</v>
      </c>
      <c r="D131" s="385">
        <f>Lead!$Q$27</f>
        <v>0.13614999999999999</v>
      </c>
      <c r="E131" s="399">
        <f t="shared" si="17"/>
        <v>8246.7799999999988</v>
      </c>
      <c r="F131" s="399">
        <f t="shared" si="18"/>
        <v>842.19</v>
      </c>
      <c r="G131" s="382">
        <f t="shared" si="19"/>
        <v>12240.14</v>
      </c>
      <c r="H131" s="382"/>
      <c r="I131" s="382"/>
      <c r="J131" s="389"/>
      <c r="K131" s="389"/>
      <c r="L131" s="389"/>
      <c r="M131" s="389"/>
      <c r="N131" s="389"/>
      <c r="O131" s="389"/>
      <c r="P131" s="389"/>
      <c r="Q131" s="389"/>
      <c r="R131" s="540"/>
      <c r="S131" s="540"/>
      <c r="T131" s="540"/>
      <c r="U131" s="540"/>
    </row>
    <row r="132" spans="1:57">
      <c r="A132" s="396"/>
      <c r="B132" s="338">
        <f t="shared" si="20"/>
        <v>3.5</v>
      </c>
      <c r="C132" s="488" t="s">
        <v>492</v>
      </c>
      <c r="D132" s="385">
        <f>Lead!$Q$27</f>
        <v>0.13614999999999999</v>
      </c>
      <c r="E132" s="399">
        <f t="shared" si="17"/>
        <v>8246.7799999999988</v>
      </c>
      <c r="F132" s="399">
        <f t="shared" si="18"/>
        <v>842.19</v>
      </c>
      <c r="G132" s="382">
        <f t="shared" si="19"/>
        <v>12718.57</v>
      </c>
      <c r="H132" s="382"/>
      <c r="I132" s="382"/>
      <c r="J132" s="389"/>
      <c r="K132" s="389"/>
      <c r="L132" s="389"/>
      <c r="M132" s="389"/>
      <c r="N132" s="389"/>
      <c r="O132" s="389"/>
      <c r="P132" s="389"/>
      <c r="Q132" s="389"/>
      <c r="R132" s="540"/>
      <c r="S132" s="540"/>
      <c r="T132" s="540"/>
      <c r="U132" s="540"/>
    </row>
    <row r="133" spans="1:57" ht="204" hidden="1">
      <c r="A133" s="396"/>
      <c r="B133" s="605">
        <v>3</v>
      </c>
      <c r="C133" s="867" t="s">
        <v>1239</v>
      </c>
      <c r="D133" s="338"/>
      <c r="E133" s="399"/>
      <c r="F133" s="472"/>
      <c r="G133" s="414"/>
      <c r="H133" s="1602" t="s">
        <v>446</v>
      </c>
      <c r="I133" s="1603"/>
      <c r="J133" s="1600" t="s">
        <v>440</v>
      </c>
      <c r="K133" s="1601"/>
      <c r="L133" s="1600" t="s">
        <v>439</v>
      </c>
      <c r="M133" s="1604"/>
      <c r="N133" s="1600" t="s">
        <v>717</v>
      </c>
      <c r="O133" s="1601"/>
      <c r="P133" s="1600" t="s">
        <v>718</v>
      </c>
      <c r="Q133" s="1601"/>
      <c r="R133" s="1600" t="s">
        <v>759</v>
      </c>
      <c r="S133" s="1601"/>
      <c r="T133" s="540"/>
      <c r="U133" s="540"/>
      <c r="AJ133" s="141">
        <v>3</v>
      </c>
      <c r="AK133" s="141" t="s">
        <v>1239</v>
      </c>
      <c r="AP133" s="141" t="s">
        <v>446</v>
      </c>
      <c r="AR133" s="141" t="s">
        <v>440</v>
      </c>
      <c r="AT133" s="141" t="s">
        <v>439</v>
      </c>
      <c r="AV133" s="141" t="s">
        <v>717</v>
      </c>
      <c r="AX133" s="141" t="s">
        <v>718</v>
      </c>
      <c r="AZ133" s="141" t="s">
        <v>759</v>
      </c>
      <c r="BB133" s="141" t="s">
        <v>760</v>
      </c>
      <c r="BD133" s="141" t="s">
        <v>1105</v>
      </c>
      <c r="BE133" s="141" t="s">
        <v>439</v>
      </c>
    </row>
    <row r="134" spans="1:57" hidden="1">
      <c r="A134" s="396"/>
      <c r="B134" s="605"/>
      <c r="C134" s="474" t="s">
        <v>857</v>
      </c>
      <c r="D134" s="338">
        <v>1.2</v>
      </c>
      <c r="E134" s="399" t="s">
        <v>862</v>
      </c>
      <c r="F134" s="472">
        <v>0.2</v>
      </c>
      <c r="G134" s="414"/>
      <c r="H134" s="603" t="s">
        <v>856</v>
      </c>
      <c r="I134" s="604">
        <v>0.24399999999999999</v>
      </c>
      <c r="J134" s="603" t="s">
        <v>856</v>
      </c>
      <c r="K134" s="604">
        <v>0.31</v>
      </c>
      <c r="L134" s="603" t="s">
        <v>856</v>
      </c>
      <c r="M134" s="604">
        <v>0.4</v>
      </c>
      <c r="N134" s="603" t="s">
        <v>856</v>
      </c>
      <c r="O134" s="604">
        <v>0.57999999999999996</v>
      </c>
      <c r="P134" s="603" t="s">
        <v>856</v>
      </c>
      <c r="Q134" s="604">
        <v>0.75</v>
      </c>
      <c r="R134" s="603" t="s">
        <v>867</v>
      </c>
      <c r="S134" s="604">
        <v>0.99</v>
      </c>
      <c r="T134" s="540"/>
      <c r="U134" s="540"/>
      <c r="AK134" s="141" t="s">
        <v>857</v>
      </c>
      <c r="AL134" s="141">
        <v>1.2</v>
      </c>
      <c r="AM134" s="141" t="s">
        <v>862</v>
      </c>
      <c r="AN134" s="141">
        <v>0.2</v>
      </c>
      <c r="AP134" s="141" t="s">
        <v>856</v>
      </c>
      <c r="AQ134" s="141">
        <v>0.23200000000000001</v>
      </c>
      <c r="AR134" s="141" t="s">
        <v>856</v>
      </c>
      <c r="AS134" s="141">
        <v>0.28999999999999998</v>
      </c>
      <c r="AT134" s="141" t="s">
        <v>856</v>
      </c>
      <c r="AU134" s="141">
        <v>0.4</v>
      </c>
      <c r="AV134" s="141" t="s">
        <v>856</v>
      </c>
      <c r="AW134" s="141">
        <v>0.57999999999999996</v>
      </c>
      <c r="AX134" s="141" t="s">
        <v>856</v>
      </c>
      <c r="AY134" s="141">
        <v>0.75</v>
      </c>
      <c r="AZ134" s="141" t="s">
        <v>867</v>
      </c>
      <c r="BA134" s="141">
        <v>0.99</v>
      </c>
      <c r="BB134" s="141" t="s">
        <v>867</v>
      </c>
      <c r="BC134" s="141">
        <v>1.23</v>
      </c>
    </row>
    <row r="135" spans="1:57" hidden="1">
      <c r="A135" s="396"/>
      <c r="B135" s="605"/>
      <c r="C135" s="474" t="s">
        <v>858</v>
      </c>
      <c r="D135" s="338">
        <v>1</v>
      </c>
      <c r="E135" s="399" t="s">
        <v>859</v>
      </c>
      <c r="F135" s="472">
        <v>0.23</v>
      </c>
      <c r="G135" s="414"/>
      <c r="H135" s="603"/>
      <c r="I135" s="604"/>
      <c r="J135" s="603"/>
      <c r="K135" s="604"/>
      <c r="L135" s="603"/>
      <c r="M135" s="604"/>
      <c r="N135" s="603"/>
      <c r="O135" s="604"/>
      <c r="P135" s="603"/>
      <c r="Q135" s="604"/>
      <c r="R135" s="895"/>
      <c r="S135" s="896"/>
      <c r="T135" s="540"/>
      <c r="U135" s="540"/>
      <c r="AK135" s="141" t="s">
        <v>858</v>
      </c>
      <c r="AL135" s="141">
        <v>1</v>
      </c>
      <c r="AM135" s="141" t="s">
        <v>859</v>
      </c>
      <c r="AN135" s="141">
        <v>0.23</v>
      </c>
    </row>
    <row r="136" spans="1:57" hidden="1">
      <c r="A136" s="396"/>
      <c r="B136" s="605"/>
      <c r="C136" s="474" t="s">
        <v>860</v>
      </c>
      <c r="D136" s="338">
        <v>0.5</v>
      </c>
      <c r="E136" s="399" t="s">
        <v>861</v>
      </c>
      <c r="F136" s="472">
        <v>0.23</v>
      </c>
      <c r="G136" s="414"/>
      <c r="H136" s="603"/>
      <c r="I136" s="604"/>
      <c r="J136" s="603"/>
      <c r="K136" s="604"/>
      <c r="L136" s="603"/>
      <c r="M136" s="604"/>
      <c r="N136" s="603"/>
      <c r="O136" s="604"/>
      <c r="P136" s="603"/>
      <c r="Q136" s="604"/>
      <c r="R136" s="895"/>
      <c r="S136" s="896"/>
      <c r="T136" s="540"/>
      <c r="U136" s="540"/>
      <c r="AK136" s="141" t="s">
        <v>860</v>
      </c>
      <c r="AL136" s="141">
        <v>0.5</v>
      </c>
      <c r="AM136" s="141" t="s">
        <v>861</v>
      </c>
      <c r="AN136" s="141">
        <v>0.23</v>
      </c>
    </row>
    <row r="137" spans="1:57" hidden="1">
      <c r="A137" s="396"/>
      <c r="B137" s="605"/>
      <c r="C137" s="474" t="s">
        <v>865</v>
      </c>
      <c r="D137" s="338">
        <v>0.15</v>
      </c>
      <c r="E137" s="399" t="s">
        <v>866</v>
      </c>
      <c r="F137" s="472">
        <v>0.35</v>
      </c>
      <c r="G137" s="414"/>
      <c r="H137" s="603"/>
      <c r="I137" s="604"/>
      <c r="J137" s="603"/>
      <c r="K137" s="604"/>
      <c r="L137" s="603"/>
      <c r="M137" s="604"/>
      <c r="N137" s="603"/>
      <c r="O137" s="604"/>
      <c r="P137" s="603"/>
      <c r="Q137" s="604"/>
      <c r="R137" s="895"/>
      <c r="S137" s="896"/>
      <c r="T137" s="540"/>
      <c r="U137" s="540"/>
      <c r="AK137" s="141" t="s">
        <v>865</v>
      </c>
      <c r="AL137" s="141">
        <v>0.15</v>
      </c>
      <c r="AM137" s="141" t="s">
        <v>866</v>
      </c>
      <c r="AN137" s="141">
        <v>0.35</v>
      </c>
    </row>
    <row r="138" spans="1:57" hidden="1">
      <c r="A138" s="396"/>
      <c r="B138" s="605"/>
      <c r="C138" s="474" t="s">
        <v>863</v>
      </c>
      <c r="D138" s="338">
        <v>0.56000000000000005</v>
      </c>
      <c r="E138" s="399"/>
      <c r="F138" s="472"/>
      <c r="G138" s="414"/>
      <c r="H138" s="603"/>
      <c r="I138" s="604"/>
      <c r="J138" s="603"/>
      <c r="K138" s="604"/>
      <c r="L138" s="603"/>
      <c r="M138" s="604"/>
      <c r="N138" s="603"/>
      <c r="O138" s="604"/>
      <c r="P138" s="603"/>
      <c r="Q138" s="604"/>
      <c r="R138" s="895"/>
      <c r="S138" s="896"/>
      <c r="T138" s="540"/>
      <c r="U138" s="540"/>
      <c r="AK138" s="141" t="s">
        <v>863</v>
      </c>
      <c r="AL138" s="141">
        <v>0.56000000000000005</v>
      </c>
      <c r="BD138" s="141" t="s">
        <v>1111</v>
      </c>
      <c r="BE138" s="141" t="s">
        <v>1112</v>
      </c>
    </row>
    <row r="139" spans="1:57" ht="25.5" hidden="1">
      <c r="A139" s="396"/>
      <c r="B139" s="396"/>
      <c r="C139" s="474" t="str">
        <f>CONCATENATE("CC in CM( 1:4:8) PI/4x(0.9+0.46+0.3)x0.15=",E139)</f>
        <v>CC in CM( 1:4:8) PI/4x(0.9+0.46+0.3)x0.15=0.76026542216873</v>
      </c>
      <c r="D139" s="338" t="s">
        <v>109</v>
      </c>
      <c r="E139" s="489">
        <f t="shared" ref="E139:E144" si="21">I139</f>
        <v>0.76026542216872983</v>
      </c>
      <c r="F139" s="472">
        <f t="shared" ref="F139:F146" si="22">F160</f>
        <v>5383.2900000000009</v>
      </c>
      <c r="G139" s="477">
        <f t="shared" ref="G139:G144" si="23">+ROUND(E139*F139,2)</f>
        <v>4092.73</v>
      </c>
      <c r="H139" s="477"/>
      <c r="I139" s="477">
        <f>(PI()/4)*(($D$155+(2*$F$158))+0.3)^2*$F$155</f>
        <v>0.76026542216872983</v>
      </c>
      <c r="J139" s="477"/>
      <c r="K139" s="477">
        <f>(PI()/4)*(($D$155+(2*$F$158))+0.3)^2*$F$155</f>
        <v>0.76026542216872983</v>
      </c>
      <c r="L139" s="477"/>
      <c r="M139" s="822">
        <f>((PI()/4)*(($D$155+(2*$F$158))+0.3)^2)*$F$155</f>
        <v>0.76026542216872983</v>
      </c>
      <c r="N139" s="477"/>
      <c r="O139" s="477">
        <f>(PI()/4)*(($D$155+(2*$F$158))+0.3)^2*$F$155</f>
        <v>0.76026542216872983</v>
      </c>
      <c r="P139" s="477"/>
      <c r="Q139" s="477">
        <f>(PI()/4)*(($D$155+(2*$F$158))+0.3)^2*$F$155</f>
        <v>0.76026542216872983</v>
      </c>
      <c r="R139" s="477"/>
      <c r="S139" s="477">
        <f>(PI()/4)*(($D$155+(2*$F$158))+0.3)^2*$F$155</f>
        <v>0.76026542216872983</v>
      </c>
      <c r="T139" s="540"/>
      <c r="U139" s="540"/>
      <c r="AK139" s="141" t="s">
        <v>171</v>
      </c>
      <c r="AL139" s="141" t="s">
        <v>109</v>
      </c>
      <c r="AM139" s="141">
        <v>0.76026542216872983</v>
      </c>
      <c r="AN139" s="141">
        <v>4283.59</v>
      </c>
      <c r="AO139" s="141">
        <v>3256.67</v>
      </c>
      <c r="AQ139" s="141">
        <v>0.76026542216872983</v>
      </c>
      <c r="AS139" s="141">
        <v>0.76026542216872983</v>
      </c>
      <c r="AU139" s="141">
        <v>0.76026542216872983</v>
      </c>
      <c r="AW139" s="141">
        <v>0.76026542216872983</v>
      </c>
      <c r="AY139" s="141">
        <v>0.76026542216872983</v>
      </c>
      <c r="BA139" s="141">
        <v>0.76026542216872983</v>
      </c>
      <c r="BC139" s="141">
        <v>0.76026542216872983</v>
      </c>
      <c r="BD139" s="141">
        <v>3256.67</v>
      </c>
      <c r="BE139" s="141">
        <v>3256.67</v>
      </c>
    </row>
    <row r="140" spans="1:57" ht="51" hidden="1">
      <c r="A140" s="396"/>
      <c r="B140" s="396"/>
      <c r="C140" s="474" t="str">
        <f>CONCATENATE("2nd Class Brick Masonory in cm (1: 6) Prop using 2nd class bricks for Uniform Section( PIx1.13x0.23x0.4)-(PI/4*0.23*0.23*.23*2)=",E140)</f>
        <v>2nd Class Brick Masonory in cm (1: 6) Prop using 2nd class bricks for Uniform Section( PIx1.13x0.23x0.4)-(PI/4*0.23*0.23*.23*2)=0.744282014068711</v>
      </c>
      <c r="D140" s="338" t="s">
        <v>109</v>
      </c>
      <c r="E140" s="489">
        <f t="shared" si="21"/>
        <v>0.74428201406871075</v>
      </c>
      <c r="F140" s="472">
        <f t="shared" si="22"/>
        <v>8504.4699999999993</v>
      </c>
      <c r="G140" s="477">
        <f t="shared" si="23"/>
        <v>6329.72</v>
      </c>
      <c r="H140" s="479">
        <f>ROUND(PI()/4*I134*I134*(($D$158/I134)*$F$158+(((I134-$D$158)/I134)*$F$157))*2,3)</f>
        <v>2.8000000000000001E-2</v>
      </c>
      <c r="I140" s="479">
        <f>(PI()*($D$155+$F$158)*$F$158*$D$158)+(PI()*($D$155+$F$157)*$F$157*$D$157)-H140</f>
        <v>0.74428201406871075</v>
      </c>
      <c r="J140" s="479">
        <f>ROUND(PI()/4*K134*K134*(($D$158/K134)*$F$158+(((K134-$D$158)/K134)*$F$157))*2,3)</f>
        <v>4.2999999999999997E-2</v>
      </c>
      <c r="K140" s="479">
        <f>(PI()*($D$155+$F$158)*$F$158*$D$158)+(PI()*($D$155+$F$157)*$F$157*$D$157)-J140</f>
        <v>0.72928201406871074</v>
      </c>
      <c r="L140" s="479">
        <f>ROUND((PI()/4)*M134*M134*(($D$158/M134)*$F$158+(((M134-$D$158)/M134)*$F$157))*2,3)</f>
        <v>6.9000000000000006E-2</v>
      </c>
      <c r="M140" s="479">
        <f>(PI()*($D$155+$F$158)*$F$158*$D$158)+(PI()*($D$155+$F$157)*$F$157*$D$157)-L140</f>
        <v>0.70328201406871083</v>
      </c>
      <c r="N140" s="479">
        <f>ROUND(PI()/4*O134*O134*(($D$158/O134)*$F$158+(((O134-$D$158)/O134)*$F$157))*2,3)</f>
        <v>0.13800000000000001</v>
      </c>
      <c r="O140" s="479">
        <f>(PI()*($D$155+$F$158)*$F$158*$D$158)+(PI()*($D$155+$F$157)*$F$157*$D$157)-N140</f>
        <v>0.63428201406871076</v>
      </c>
      <c r="P140" s="479">
        <f>ROUND(PI()/4*Q134*Q134*(($D$158/Q134)*$F$158+(((Q134-$D$158)/Q134)*$F$157))*2,3)</f>
        <v>0.224</v>
      </c>
      <c r="Q140" s="479">
        <f>(PI()*($D$155+$F$158)*$F$158*$D$158)+(PI()*($D$155+$F$157)*$F$157*$D$157)-P140</f>
        <v>0.5482820140687108</v>
      </c>
      <c r="R140" s="479">
        <f>ROUND(PI()/4*S134*S134*(($D$158/S134)*$F$158+(((S134-$D$158)/S134)*$F$157))*2,3)</f>
        <v>0.38200000000000001</v>
      </c>
      <c r="S140" s="479">
        <f>(PI()*($D$155+$F$158)*$F$158*$D$158)+(PI()*($D$155+$F$157)*$F$157*$D$157)-R140</f>
        <v>0.39028201406871077</v>
      </c>
      <c r="T140" s="540"/>
      <c r="U140" s="540"/>
      <c r="AK140" s="141" t="s">
        <v>1240</v>
      </c>
      <c r="AL140" s="141" t="s">
        <v>109</v>
      </c>
      <c r="AM140" s="141">
        <v>0.74628201406871075</v>
      </c>
      <c r="AN140" s="141">
        <v>9426.75</v>
      </c>
      <c r="AO140" s="141">
        <v>7035.01</v>
      </c>
      <c r="AP140" s="141">
        <v>2.5999999999999999E-2</v>
      </c>
      <c r="AQ140" s="141">
        <v>0.74628201406871075</v>
      </c>
      <c r="AR140" s="141">
        <v>3.9E-2</v>
      </c>
      <c r="AS140" s="141">
        <v>0.73328201406871074</v>
      </c>
      <c r="AT140" s="141">
        <v>6.9000000000000006E-2</v>
      </c>
      <c r="AU140" s="141">
        <v>0.70328201406871083</v>
      </c>
      <c r="AV140" s="141">
        <v>0.13800000000000001</v>
      </c>
      <c r="AW140" s="141">
        <v>0.63428201406871076</v>
      </c>
      <c r="AX140" s="141">
        <v>0.224</v>
      </c>
      <c r="AY140" s="141">
        <v>0.5482820140687108</v>
      </c>
      <c r="AZ140" s="141">
        <v>0.38200000000000001</v>
      </c>
      <c r="BA140" s="141">
        <v>0.39028201406871077</v>
      </c>
      <c r="BB140" s="141">
        <v>0.58099999999999996</v>
      </c>
      <c r="BC140" s="141">
        <v>0.19128201406871082</v>
      </c>
      <c r="BD140" s="141">
        <v>6912.47</v>
      </c>
      <c r="BE140" s="141">
        <v>6629.66</v>
      </c>
    </row>
    <row r="141" spans="1:57" ht="51" hidden="1">
      <c r="A141" s="396"/>
      <c r="B141" s="396"/>
      <c r="C141" s="474" t="str">
        <f>CONCATENATE("2nd Class Brick Masonory work  in cm (1: 6) )Prop using 2nd class bricks for Carbelling Portion Pix(1.13+0.78)/2x0.23x(0.6-.25)=",E141)</f>
        <v>2nd Class Brick Masonory work  in cm (1: 6) )Prop using 2nd class bricks for Carbelling Portion Pix(1.13+0.78)/2x0.23x(0.6-.25)=0.601536453346106</v>
      </c>
      <c r="D141" s="338" t="s">
        <v>109</v>
      </c>
      <c r="E141" s="489">
        <f t="shared" si="21"/>
        <v>0.60153645334610573</v>
      </c>
      <c r="F141" s="472">
        <f t="shared" si="22"/>
        <v>8504.4699999999993</v>
      </c>
      <c r="G141" s="477">
        <f t="shared" si="23"/>
        <v>5115.75</v>
      </c>
      <c r="H141" s="389"/>
      <c r="I141" s="389">
        <f>(PI()*(($D$155+$F$156+$D$159+$F$156)/2)*$F$156)*($D$156-0.25)</f>
        <v>0.60153645334610573</v>
      </c>
      <c r="J141" s="389"/>
      <c r="K141" s="389">
        <f>(PI()*(($D$155+$F$156+$D$159+$F$156)/2)*$F$156)*($D$156-0.25)</f>
        <v>0.60153645334610573</v>
      </c>
      <c r="L141" s="493"/>
      <c r="M141" s="868">
        <f>(PI()*(($D$155+$F$156+$D$159+$F$156)/2)*$F$156)*($D$156-0.25)</f>
        <v>0.60153645334610573</v>
      </c>
      <c r="N141" s="389"/>
      <c r="O141" s="389">
        <f>(PI()*(($D$155+$F$156+$D$159+$F$156)/2)*$F$156)*($D$156-0.25)</f>
        <v>0.60153645334610573</v>
      </c>
      <c r="P141" s="389"/>
      <c r="Q141" s="389">
        <f>(PI()*(($D$155+$F$156+$D$159+$F$156)/2)*$F$156)*($D$156-0.25)</f>
        <v>0.60153645334610573</v>
      </c>
      <c r="R141" s="493"/>
      <c r="S141" s="389">
        <f>(PI()*(($D$155+$F$156+$D$159+$F$156)/2)*$F$156)*($D$156-0.25)</f>
        <v>0.60153645334610573</v>
      </c>
      <c r="T141" s="540"/>
      <c r="U141" s="540"/>
      <c r="AK141" s="141" t="s">
        <v>1237</v>
      </c>
      <c r="AL141" s="141" t="s">
        <v>109</v>
      </c>
      <c r="AM141" s="141">
        <v>0.60153645334610573</v>
      </c>
      <c r="AN141" s="141">
        <v>9426.75</v>
      </c>
      <c r="AO141" s="141">
        <v>5670.53</v>
      </c>
      <c r="AQ141" s="141">
        <v>0.60153645334610573</v>
      </c>
      <c r="AS141" s="141">
        <v>0.60153645334610573</v>
      </c>
      <c r="AU141" s="141">
        <v>0.60153645334610573</v>
      </c>
      <c r="AW141" s="141">
        <v>0.60153645334610573</v>
      </c>
      <c r="AY141" s="141">
        <v>0.60153645334610573</v>
      </c>
      <c r="BA141" s="141">
        <v>0.60153645334610573</v>
      </c>
      <c r="BC141" s="141">
        <v>0.60153645334610573</v>
      </c>
      <c r="BD141" s="141">
        <v>5670.53</v>
      </c>
      <c r="BE141" s="141">
        <v>5670.53</v>
      </c>
    </row>
    <row r="142" spans="1:57" ht="51" hidden="1">
      <c r="A142" s="396"/>
      <c r="B142" s="396"/>
      <c r="C142" s="970" t="str">
        <f>CONCATENATE("External Plastering in CM(1:4) of 12 mm thick vertical portion Pix(.9+.23*2)x0.40 and sloped portion Pix(1.36+1.01)/2x(0.6-.25)  Dedcut Pipe Portion 2xPI()/4x0.23x0.23=",E142)</f>
        <v>External Plastering in CM(1:4) of 12 mm thick vertical portion Pix(.9+.23*2)x0.40 and sloped portion Pix(1.36+1.01)/2x(0.6-.25)  Dedcut Pipe Portion 2xPI()/4x0.23x0.23=6.56617642561036</v>
      </c>
      <c r="D142" s="338" t="s">
        <v>224</v>
      </c>
      <c r="E142" s="489">
        <f t="shared" si="21"/>
        <v>6.5661764256103607</v>
      </c>
      <c r="F142" s="472">
        <f t="shared" si="22"/>
        <v>170.45499999999998</v>
      </c>
      <c r="G142" s="477">
        <f t="shared" si="23"/>
        <v>1119.24</v>
      </c>
      <c r="H142" s="389">
        <f>ROUND(PI()/4*I134*I134*2,3)</f>
        <v>9.4E-2</v>
      </c>
      <c r="I142" s="389">
        <f>(PI()*($D$155+2*($F$158))*($D$158))+(PI()*($D$155+(2*$F$157))*$D$157)+(PI()*(($D$155+2*($F$156)+$D$159+2*($F$156))/2)*($D$156-0.25))-H142</f>
        <v>6.5661764256103607</v>
      </c>
      <c r="J142" s="389">
        <f>ROUND(PI()/4*K134*K134*2,3)</f>
        <v>0.151</v>
      </c>
      <c r="K142" s="389">
        <f>(PI()*($D$155+2*($F$158))*($D$158))+(PI()*($D$155+(2*$F$157))*$D$157)+(PI()*(($D$155+2*($F$156)+$D$159+2*($F$156))/2)*($D$156-0.25))-J142</f>
        <v>6.5091764256103612</v>
      </c>
      <c r="L142" s="389">
        <f>ROUND(PI()/4*M134*M134*2,3)</f>
        <v>0.251</v>
      </c>
      <c r="M142" s="868">
        <f>(PI()*($D$155+2*($F$158))*($D$158))+(PI()*($D$155+(2*$F$157))*$D$157)+(PI()*(($D$155+2*($F$156)+$D$159+2*($F$156))/2)*($D$156-0.25))-L142</f>
        <v>6.4091764256103607</v>
      </c>
      <c r="N142" s="389">
        <f>ROUND(PI()/4*O134*O134*2,3)</f>
        <v>0.52800000000000002</v>
      </c>
      <c r="O142" s="389">
        <f>(PI()*($D$155+2*($F$158))*($D$158))+(PI()*($D$155+(2*$F$157))*$D$157)+(PI()*(($D$155+2*($F$156)+$D$159+2*($F$156))/2)*($D$156-0.25))-N142</f>
        <v>6.1321764256103606</v>
      </c>
      <c r="P142" s="389">
        <f>ROUND(PI()/4*Q134*Q134*2,3)</f>
        <v>0.88400000000000001</v>
      </c>
      <c r="Q142" s="389">
        <f>(PI()*($D$155+2*($F$158))*($D$158))+(PI()*($D$155+(2*$F$157))*$D$157)+(PI()*(($D$155+2*($F$156)+$D$159+2*($F$156))/2)*($D$156-0.25))-P142</f>
        <v>5.7761764256103607</v>
      </c>
      <c r="R142" s="389">
        <f>ROUND(PI()/4*S134*S134*2,3)</f>
        <v>1.54</v>
      </c>
      <c r="S142" s="389">
        <f>(PI()*($D$155+2*($F$158))*($D$158))+(PI()*($D$155+(2*$F$157))*$D$157)+(PI()*(($D$155+2*($F$156)+$D$159+2*($F$156))/2)*($D$156-0.25))-R142</f>
        <v>5.120176425610361</v>
      </c>
      <c r="T142" s="540"/>
      <c r="U142" s="540"/>
      <c r="AK142" s="141" t="s">
        <v>1109</v>
      </c>
      <c r="AL142" s="141" t="s">
        <v>224</v>
      </c>
      <c r="AM142" s="141">
        <v>6.5751764256103611</v>
      </c>
      <c r="AN142" s="141">
        <v>166.45400000000001</v>
      </c>
      <c r="AO142" s="141">
        <v>1094.46</v>
      </c>
      <c r="AP142" s="141">
        <v>8.5000000000000006E-2</v>
      </c>
      <c r="AQ142" s="141">
        <v>6.5751764256103611</v>
      </c>
      <c r="AR142" s="141">
        <v>0.13200000000000001</v>
      </c>
      <c r="AS142" s="141">
        <v>6.5281764256103614</v>
      </c>
      <c r="AT142" s="141">
        <v>0.251</v>
      </c>
      <c r="AU142" s="141">
        <v>6.4091764256103607</v>
      </c>
      <c r="AV142" s="141">
        <v>0.52800000000000002</v>
      </c>
      <c r="AW142" s="141">
        <v>6.1321764256103606</v>
      </c>
      <c r="AX142" s="141">
        <v>0.88400000000000001</v>
      </c>
      <c r="AY142" s="141">
        <v>5.7761764256103607</v>
      </c>
      <c r="AZ142" s="141">
        <v>1.54</v>
      </c>
      <c r="BA142" s="141">
        <v>5.120176425610361</v>
      </c>
      <c r="BB142" s="141">
        <v>2.3759999999999999</v>
      </c>
      <c r="BC142" s="141">
        <v>4.2841764256103616</v>
      </c>
      <c r="BD142" s="141">
        <v>1086.6400000000001</v>
      </c>
      <c r="BE142" s="141">
        <v>1066.83</v>
      </c>
    </row>
    <row r="143" spans="1:57" ht="51" hidden="1">
      <c r="A143" s="396"/>
      <c r="B143" s="396"/>
      <c r="C143" s="474" t="str">
        <f>CONCATENATE("Internal Plastering in CM(1:4) of 20 mm thick uniform portion PIx0.90x0.4 and Sloped Portion Pix(0.90+0.56)/2x(.6-.25)  Dedcut Pipe Portion 2xPI()/4x0.25x0.25=",E143)</f>
        <v>Internal Plastering in CM(1:4) of 20 mm thick uniform portion PIx0.90x0.4 and Sloped Portion Pix(0.90+0.56)/2x(.6-.25)  Dedcut Pipe Portion 2xPI()/4x0.25x0.25=3.6038934211693</v>
      </c>
      <c r="D143" s="338" t="s">
        <v>224</v>
      </c>
      <c r="E143" s="489">
        <f t="shared" si="21"/>
        <v>3.6038934211693014</v>
      </c>
      <c r="F143" s="472">
        <f t="shared" si="22"/>
        <v>259.48599999999999</v>
      </c>
      <c r="G143" s="477">
        <f t="shared" si="23"/>
        <v>935.16</v>
      </c>
      <c r="H143" s="389">
        <f>ROUND(PI()*$D$155*I134,3)</f>
        <v>0.92</v>
      </c>
      <c r="I143" s="490">
        <f>((PI()*$D$155*$D$158)+(PI()*($D$155)*$D$157)+(PI()*($D$155+$D$159)/2*($D$156-0.25)))-H143</f>
        <v>3.6038934211693014</v>
      </c>
      <c r="J143" s="389">
        <f>ROUND(PI()*$D$155*K134,3)</f>
        <v>1.169</v>
      </c>
      <c r="K143" s="490">
        <f>((PI()*$D$155*$D$158)+(PI()*($D$155)*$D$157)+(PI()*($D$155+$D$159)/2*($D$156-0.175)))-J143</f>
        <v>3.5622385363062281</v>
      </c>
      <c r="L143" s="389">
        <f>ROUND(PI()*$D$155*M134,3)</f>
        <v>1.508</v>
      </c>
      <c r="M143" s="869">
        <f>((PI()*$D$155*$D$158)+(PI()*($D$155)*$D$157)+(PI()*(($D$155+$D$159)/2)*($D$156-0.25)))-L143</f>
        <v>3.0158934211693014</v>
      </c>
      <c r="N143" s="389">
        <f>ROUND(PI()*$D$155*O134,3)</f>
        <v>2.1869999999999998</v>
      </c>
      <c r="O143" s="490">
        <f>((PI()*$D$155*$D$158)+(PI()*($D$155)*$D$157)+(PI()*($D$155+$D$159)/2*($D$156-0.175)))-N143</f>
        <v>2.5442385363062283</v>
      </c>
      <c r="P143" s="389">
        <f>ROUND(PI()*$D$155*Q134,3)</f>
        <v>2.827</v>
      </c>
      <c r="Q143" s="490">
        <f>((PI()*$D$155*$D$158)+(PI()*($D$155)*$D$157)+(PI()*($D$155+$D$159)/2*($D$156-0.175)))-P143</f>
        <v>1.9042385363062282</v>
      </c>
      <c r="R143" s="389">
        <f>ROUND(PI()*$D$155*S134,3)</f>
        <v>3.7320000000000002</v>
      </c>
      <c r="S143" s="490">
        <f>((PI()*$D$155*$D$158)+(PI()*($D$155)*$D$157)+(PI()*($D$155+$D$159)/2*($D$156-0.175)))-R143</f>
        <v>0.99923853630622794</v>
      </c>
      <c r="T143" s="540"/>
      <c r="U143" s="540"/>
      <c r="AK143" s="141" t="s">
        <v>1110</v>
      </c>
      <c r="AL143" s="141" t="s">
        <v>224</v>
      </c>
      <c r="AM143" s="141">
        <v>3.6488934211693014</v>
      </c>
      <c r="AN143" s="141">
        <v>253.714</v>
      </c>
      <c r="AO143" s="141">
        <v>925.78</v>
      </c>
      <c r="AP143" s="141">
        <v>0.875</v>
      </c>
      <c r="AQ143" s="141">
        <v>3.6488934211693014</v>
      </c>
      <c r="AR143" s="141">
        <v>1.093</v>
      </c>
      <c r="AS143" s="141">
        <v>3.4308934211693014</v>
      </c>
      <c r="AT143" s="141">
        <v>1.508</v>
      </c>
      <c r="AU143" s="141">
        <v>3.0158934211693014</v>
      </c>
      <c r="AV143" s="141">
        <v>2.1869999999999998</v>
      </c>
      <c r="AW143" s="141">
        <v>2.5442385363062283</v>
      </c>
      <c r="AX143" s="141">
        <v>2.827</v>
      </c>
      <c r="AY143" s="141">
        <v>1.9042385363062282</v>
      </c>
      <c r="AZ143" s="141">
        <v>3.7320000000000002</v>
      </c>
      <c r="BA143" s="141">
        <v>0.99923853630622794</v>
      </c>
      <c r="BB143" s="141">
        <v>4.6369999999999996</v>
      </c>
      <c r="BC143" s="141">
        <v>9.4238536306228582E-2</v>
      </c>
      <c r="BD143" s="141">
        <v>870.47</v>
      </c>
      <c r="BE143" s="141">
        <v>765.17</v>
      </c>
    </row>
    <row r="144" spans="1:57" ht="51" hidden="1">
      <c r="A144" s="396"/>
      <c r="B144" s="396"/>
      <c r="C144" s="473" t="str">
        <f>CONCATENATE("CC Channeling with (1:2.5:5) Prop  PIx0.9x0.9x0.30/4 = over Manhole alround for Cover PIx0.81x0.15x0.10= deduct Channel 0.90x0.25x0.25=",E144)</f>
        <v>CC Channeling with (1:2.5:5) Prop  PIx0.9x0.9x0.30/4 = over Manhole alround for Cover PIx0.81x0.15x0.10= deduct Channel 0.90x0.25x0.25=0.149617239177452</v>
      </c>
      <c r="D144" s="338" t="s">
        <v>109</v>
      </c>
      <c r="E144" s="489">
        <f t="shared" si="21"/>
        <v>0.14961723917745198</v>
      </c>
      <c r="F144" s="472">
        <f t="shared" si="22"/>
        <v>6018.18</v>
      </c>
      <c r="G144" s="477">
        <f t="shared" si="23"/>
        <v>900.42</v>
      </c>
      <c r="H144" s="389">
        <f>ROUND($D$155*(PI()/4)*I134*I134,3)</f>
        <v>5.6000000000000001E-2</v>
      </c>
      <c r="I144" s="389">
        <f>(((PI()*$D$155^2/4)*0.1)+(PI()*($D$159+$F$156)*$F$156*0.1)+(PI()*(0.86+0.08)*0.08*0.15))-H144</f>
        <v>0.14961723917745198</v>
      </c>
      <c r="J144" s="389">
        <f>ROUND($D$155*(PI()/4)*K134*K134,3)</f>
        <v>9.0999999999999998E-2</v>
      </c>
      <c r="K144" s="389">
        <f>(((PI()*$D$155^2/4)*K134)+(PI()*($D$155+$F$156)*$F$156*0.075)+(PI()*(0.71+0.08)*0.08*0.175))-J144</f>
        <v>0.37184299167175017</v>
      </c>
      <c r="L144" s="389">
        <f>ROUND($D$155*(PI()/4)*M134*M134,3)</f>
        <v>0.151</v>
      </c>
      <c r="M144" s="868">
        <f>(((PI()*$D$155^2/4)*M134)+(PI()*($D$159+$F$156)*$F$156*0.1)+(PI()*(0.86+0.08)*0.08*0.15))-L144</f>
        <v>0.39390924576514963</v>
      </c>
      <c r="N144" s="389">
        <f>ROUND($D$155*(PI()/4)*O134*O134,3)</f>
        <v>0.317</v>
      </c>
      <c r="O144" s="389">
        <f>(((PI()*$D$155^2/4)*O134)+(PI()*($D$155+$F$156)*$F$156*0.075)+(PI()*(0.71+0.08)*0.08*0.175))-N144</f>
        <v>0.45120579760067808</v>
      </c>
      <c r="P144" s="389">
        <f>ROUND($D$155*(PI()/4)*Q134*Q134,3)</f>
        <v>0.53</v>
      </c>
      <c r="Q144" s="389">
        <f>(((PI()*$D$155^2/4)*Q134)+(PI()*($D$155+$F$156)*$F$156*0.075)+(PI()*(0.71+0.08)*0.08*0.175))-P144</f>
        <v>0.4304712680003735</v>
      </c>
      <c r="R144" s="389">
        <f>ROUND($D$155*(PI()/4)*S134*S134,3)</f>
        <v>0.92400000000000004</v>
      </c>
      <c r="S144" s="389">
        <f>(((PI()*$D$155^2/4)*S134)+(PI()*($D$155+$F$156)*$F$156*0.075)+(PI()*(0.71+0.08)*0.08*0.175))-R144</f>
        <v>0.30790487327053151</v>
      </c>
      <c r="T144" s="540"/>
      <c r="U144" s="540"/>
      <c r="AK144" s="141" t="s">
        <v>762</v>
      </c>
      <c r="AL144" s="141" t="s">
        <v>109</v>
      </c>
      <c r="AM144" s="141">
        <v>0.15461723917745199</v>
      </c>
      <c r="AN144" s="141">
        <v>5040.1499999999996</v>
      </c>
      <c r="AO144" s="141">
        <v>779.29</v>
      </c>
      <c r="AP144" s="141">
        <v>5.0999999999999997E-2</v>
      </c>
      <c r="AQ144" s="141">
        <v>0.15461723917745199</v>
      </c>
      <c r="AR144" s="141">
        <v>7.9000000000000001E-2</v>
      </c>
      <c r="AS144" s="141">
        <v>0.12661723917745199</v>
      </c>
      <c r="AT144" s="141">
        <v>0.151</v>
      </c>
      <c r="AU144" s="141">
        <v>5.4617239177451982E-2</v>
      </c>
      <c r="AV144" s="141">
        <v>0.317</v>
      </c>
      <c r="AW144" s="141">
        <v>0.45120579760067808</v>
      </c>
      <c r="AX144" s="141">
        <v>0.53</v>
      </c>
      <c r="AY144" s="141">
        <v>0.4304712680003735</v>
      </c>
      <c r="AZ144" s="141">
        <v>0.92400000000000004</v>
      </c>
      <c r="BA144" s="141">
        <v>0.30790487327053151</v>
      </c>
      <c r="BB144" s="141">
        <v>1.4259999999999999</v>
      </c>
      <c r="BC144" s="141">
        <v>7.733847854068987E-2</v>
      </c>
      <c r="BD144" s="141">
        <v>638.16999999999996</v>
      </c>
      <c r="BE144" s="141">
        <v>275.27999999999997</v>
      </c>
    </row>
    <row r="145" spans="1:57" hidden="1">
      <c r="A145" s="396"/>
      <c r="B145" s="396"/>
      <c r="C145" s="473" t="s">
        <v>225</v>
      </c>
      <c r="D145" s="338" t="s">
        <v>226</v>
      </c>
      <c r="E145" s="399">
        <v>3</v>
      </c>
      <c r="F145" s="472">
        <f t="shared" si="22"/>
        <v>81</v>
      </c>
      <c r="G145" s="477">
        <f>+ROUND(E145*F145,2)</f>
        <v>243</v>
      </c>
      <c r="H145" s="477"/>
      <c r="I145" s="389"/>
      <c r="J145" s="389"/>
      <c r="K145" s="389"/>
      <c r="L145" s="389"/>
      <c r="M145" s="389"/>
      <c r="N145" s="389"/>
      <c r="O145" s="389"/>
      <c r="P145" s="389"/>
      <c r="Q145" s="389"/>
      <c r="R145" s="540"/>
      <c r="S145" s="540"/>
      <c r="T145" s="540"/>
      <c r="U145" s="540"/>
      <c r="AI145" s="141" t="s">
        <v>128</v>
      </c>
      <c r="AK145" s="141" t="s">
        <v>225</v>
      </c>
      <c r="AL145" s="141" t="s">
        <v>226</v>
      </c>
      <c r="AM145" s="141">
        <v>3</v>
      </c>
      <c r="AN145" s="141">
        <v>81</v>
      </c>
      <c r="AO145" s="141">
        <v>243</v>
      </c>
      <c r="BD145" s="141">
        <v>243</v>
      </c>
      <c r="BE145" s="141">
        <v>243</v>
      </c>
    </row>
    <row r="146" spans="1:57" hidden="1">
      <c r="A146" s="396"/>
      <c r="B146" s="397"/>
      <c r="C146" s="480" t="s">
        <v>106</v>
      </c>
      <c r="D146" s="338" t="s">
        <v>226</v>
      </c>
      <c r="E146" s="399"/>
      <c r="F146" s="472" t="str">
        <f t="shared" si="22"/>
        <v>Rs</v>
      </c>
      <c r="G146" s="414">
        <f>SUM(G139:G145)</f>
        <v>18736.02</v>
      </c>
      <c r="H146" s="414"/>
      <c r="I146" s="389"/>
      <c r="J146" s="389"/>
      <c r="K146" s="389"/>
      <c r="L146" s="389"/>
      <c r="M146" s="389">
        <f>((PI()*$D$49*M134))</f>
        <v>1.1309733552923256</v>
      </c>
      <c r="N146" s="389"/>
      <c r="O146" s="389"/>
      <c r="P146" s="389"/>
      <c r="Q146" s="389"/>
      <c r="R146" s="540"/>
      <c r="S146" s="540"/>
      <c r="T146" s="540"/>
      <c r="U146" s="540"/>
      <c r="AK146" s="141" t="s">
        <v>106</v>
      </c>
      <c r="AL146" s="141" t="s">
        <v>226</v>
      </c>
      <c r="AN146" s="141" t="s">
        <v>154</v>
      </c>
      <c r="AO146" s="141">
        <v>19004.739999999998</v>
      </c>
      <c r="AU146" s="141">
        <v>1.1309733552923256</v>
      </c>
      <c r="BD146" s="141">
        <v>18677.949999999997</v>
      </c>
      <c r="BE146" s="141">
        <v>17907.14</v>
      </c>
    </row>
    <row r="147" spans="1:57" hidden="1">
      <c r="A147" s="396"/>
      <c r="B147" s="386"/>
      <c r="C147" s="480"/>
      <c r="D147" s="397"/>
      <c r="E147" s="399"/>
      <c r="F147" s="472"/>
      <c r="G147" s="414"/>
      <c r="H147" s="475"/>
      <c r="I147" s="389"/>
      <c r="J147" s="389"/>
      <c r="K147" s="389"/>
      <c r="L147" s="389"/>
      <c r="M147" s="389"/>
      <c r="N147" s="389"/>
      <c r="O147" s="389"/>
      <c r="P147" s="389"/>
      <c r="Q147" s="389"/>
      <c r="R147" s="657"/>
      <c r="S147" s="657"/>
      <c r="T147" s="540"/>
      <c r="U147" s="540"/>
    </row>
    <row r="148" spans="1:57" hidden="1">
      <c r="A148" s="396"/>
      <c r="B148" s="386"/>
      <c r="C148" s="481" t="s">
        <v>319</v>
      </c>
      <c r="D148" s="388"/>
      <c r="E148" s="387"/>
      <c r="F148" s="472"/>
      <c r="G148" s="482"/>
      <c r="H148" s="475"/>
      <c r="I148" s="384"/>
      <c r="J148" s="384"/>
      <c r="K148" s="384"/>
      <c r="L148" s="384"/>
      <c r="M148" s="384"/>
      <c r="N148" s="384"/>
      <c r="O148" s="384"/>
      <c r="P148" s="384"/>
      <c r="Q148" s="384"/>
      <c r="R148" s="657"/>
      <c r="S148" s="657"/>
      <c r="T148" s="540"/>
      <c r="U148" s="540"/>
      <c r="AK148" s="141" t="s">
        <v>319</v>
      </c>
    </row>
    <row r="149" spans="1:57" hidden="1">
      <c r="A149" s="396"/>
      <c r="B149" s="386"/>
      <c r="C149" s="481" t="s">
        <v>320</v>
      </c>
      <c r="D149" s="388" t="s">
        <v>109</v>
      </c>
      <c r="E149" s="483">
        <f>ROUND(E139*0.9+E144*0.9,2)</f>
        <v>0.82</v>
      </c>
      <c r="F149" s="472">
        <f>F170</f>
        <v>0</v>
      </c>
      <c r="G149" s="475">
        <v>0</v>
      </c>
      <c r="H149" s="384"/>
      <c r="I149" s="483">
        <f>ROUND(I139*0.9+I144*0.9,2)</f>
        <v>0.82</v>
      </c>
      <c r="J149" s="483"/>
      <c r="K149" s="483">
        <f>ROUND(K139*0.9+K144*0.9,2)</f>
        <v>1.02</v>
      </c>
      <c r="L149" s="384"/>
      <c r="M149" s="483">
        <f>ROUND(M139*0.9+M144*0.9,2)</f>
        <v>1.04</v>
      </c>
      <c r="N149" s="384"/>
      <c r="O149" s="483"/>
      <c r="P149" s="384"/>
      <c r="Q149" s="483"/>
      <c r="R149" s="657"/>
      <c r="S149" s="657"/>
      <c r="T149" s="540"/>
      <c r="U149" s="540"/>
      <c r="AK149" s="141" t="s">
        <v>320</v>
      </c>
      <c r="AL149" s="141" t="s">
        <v>109</v>
      </c>
      <c r="AM149" s="141">
        <v>0.82</v>
      </c>
      <c r="AN149" s="141">
        <v>0</v>
      </c>
      <c r="AO149" s="141">
        <v>0</v>
      </c>
      <c r="AQ149" s="141">
        <v>0.82</v>
      </c>
      <c r="AS149" s="141">
        <v>0.8</v>
      </c>
      <c r="AU149" s="141">
        <v>0.73</v>
      </c>
    </row>
    <row r="150" spans="1:57" hidden="1">
      <c r="A150" s="396"/>
      <c r="B150" s="386"/>
      <c r="C150" s="481" t="s">
        <v>321</v>
      </c>
      <c r="D150" s="388" t="s">
        <v>109</v>
      </c>
      <c r="E150" s="483">
        <f>ROUND((E140+E141)*0.2+(E142*0.015+E143*0.021)+(E139+E144)*0.45,2)</f>
        <v>0.85</v>
      </c>
      <c r="F150" s="472">
        <f>F171</f>
        <v>0</v>
      </c>
      <c r="G150" s="475">
        <v>0</v>
      </c>
      <c r="H150" s="384"/>
      <c r="I150" s="483">
        <f>ROUND((I140+I141)*0.2+(I142*0.015+I143*0.021)+(I139+I144)*0.45,2)</f>
        <v>0.85</v>
      </c>
      <c r="J150" s="483"/>
      <c r="K150" s="483">
        <f>ROUND((K140+K141)*0.2+(K142*0.015+K143*0.021)+(K139+K144)*0.45,2)</f>
        <v>0.95</v>
      </c>
      <c r="L150" s="384"/>
      <c r="M150" s="483">
        <f>ROUND((M140+M141)*0.2+(M142*0.015+M143*0.021)+(M139+M144)*0.45,2)</f>
        <v>0.94</v>
      </c>
      <c r="N150" s="384"/>
      <c r="O150" s="483"/>
      <c r="P150" s="384"/>
      <c r="Q150" s="483"/>
      <c r="R150" s="247"/>
      <c r="S150" s="247"/>
      <c r="T150" s="540"/>
      <c r="U150" s="540"/>
      <c r="AK150" s="141" t="s">
        <v>321</v>
      </c>
      <c r="AL150" s="141" t="s">
        <v>109</v>
      </c>
      <c r="AM150" s="141">
        <v>0.86</v>
      </c>
      <c r="AN150" s="141">
        <v>0</v>
      </c>
      <c r="AO150" s="141">
        <v>0</v>
      </c>
      <c r="AQ150" s="141">
        <v>0.86</v>
      </c>
      <c r="AS150" s="141">
        <v>0.84</v>
      </c>
      <c r="AU150" s="141">
        <v>0.79</v>
      </c>
    </row>
    <row r="151" spans="1:57" hidden="1">
      <c r="A151" s="396"/>
      <c r="B151" s="389"/>
      <c r="C151" s="481" t="s">
        <v>273</v>
      </c>
      <c r="D151" s="388"/>
      <c r="E151" s="387"/>
      <c r="F151" s="472" t="str">
        <f>F172</f>
        <v>Rs</v>
      </c>
      <c r="G151" s="482">
        <f>SUM(G146:G150)</f>
        <v>18736.02</v>
      </c>
      <c r="H151" s="384"/>
      <c r="I151" s="387"/>
      <c r="J151" s="387"/>
      <c r="K151" s="387"/>
      <c r="L151" s="384"/>
      <c r="M151" s="387"/>
      <c r="N151" s="384"/>
      <c r="O151" s="387"/>
      <c r="P151" s="384"/>
      <c r="Q151" s="387"/>
      <c r="R151" s="540"/>
      <c r="S151" s="540"/>
      <c r="T151" s="540"/>
      <c r="U151" s="540"/>
      <c r="AK151" s="141" t="s">
        <v>273</v>
      </c>
      <c r="AN151" s="141" t="s">
        <v>154</v>
      </c>
      <c r="AO151" s="141">
        <v>19004.739999999998</v>
      </c>
    </row>
    <row r="152" spans="1:57" hidden="1">
      <c r="A152" s="396"/>
      <c r="B152" s="389"/>
      <c r="C152" s="481"/>
      <c r="D152" s="388"/>
      <c r="E152" s="387"/>
      <c r="F152" s="475"/>
      <c r="G152" s="482"/>
      <c r="H152" s="384"/>
      <c r="I152" s="387"/>
      <c r="J152" s="387"/>
      <c r="K152" s="387"/>
      <c r="L152" s="384"/>
      <c r="M152" s="387"/>
      <c r="N152" s="384"/>
      <c r="O152" s="387"/>
      <c r="P152" s="384"/>
      <c r="Q152" s="387"/>
      <c r="R152" s="540"/>
      <c r="S152" s="540"/>
      <c r="T152" s="540"/>
      <c r="U152" s="540"/>
    </row>
    <row r="153" spans="1:57" hidden="1">
      <c r="A153" s="396"/>
      <c r="B153" s="389"/>
      <c r="C153" s="481"/>
      <c r="D153" s="388"/>
      <c r="E153" s="387"/>
      <c r="F153" s="475"/>
      <c r="G153" s="482"/>
      <c r="H153" s="384"/>
      <c r="I153" s="387"/>
      <c r="J153" s="387"/>
      <c r="K153" s="387"/>
      <c r="L153" s="384"/>
      <c r="M153" s="387"/>
      <c r="N153" s="384"/>
      <c r="O153" s="387"/>
      <c r="P153" s="384"/>
      <c r="Q153" s="387"/>
      <c r="R153" s="540"/>
      <c r="S153" s="540"/>
      <c r="T153" s="540"/>
      <c r="U153" s="540"/>
    </row>
    <row r="154" spans="1:57" ht="169.5" hidden="1" customHeight="1">
      <c r="A154" s="396"/>
      <c r="B154" s="605">
        <v>3</v>
      </c>
      <c r="C154" s="867" t="s">
        <v>1239</v>
      </c>
      <c r="D154" s="338"/>
      <c r="E154" s="399"/>
      <c r="F154" s="472"/>
      <c r="G154" s="414"/>
      <c r="H154" s="1600" t="s">
        <v>446</v>
      </c>
      <c r="I154" s="1601"/>
      <c r="J154" s="1600" t="s">
        <v>440</v>
      </c>
      <c r="K154" s="1601"/>
      <c r="L154" s="1602" t="s">
        <v>439</v>
      </c>
      <c r="M154" s="1605"/>
      <c r="N154" s="1600" t="s">
        <v>717</v>
      </c>
      <c r="O154" s="1601"/>
      <c r="P154" s="1600" t="s">
        <v>718</v>
      </c>
      <c r="Q154" s="1601"/>
      <c r="R154" s="1600" t="s">
        <v>759</v>
      </c>
      <c r="S154" s="1601"/>
      <c r="T154" s="1600" t="s">
        <v>760</v>
      </c>
      <c r="U154" s="1601"/>
      <c r="V154" s="966"/>
      <c r="W154" s="966"/>
      <c r="X154" s="966"/>
      <c r="Y154" s="966"/>
      <c r="Z154" s="966"/>
      <c r="AA154" s="966"/>
      <c r="AB154" s="966"/>
      <c r="AC154" s="966"/>
      <c r="AD154" s="966"/>
      <c r="AE154" s="966"/>
      <c r="AF154" s="966"/>
      <c r="AG154" s="966"/>
      <c r="AH154" s="966"/>
      <c r="AI154" s="141">
        <v>3</v>
      </c>
      <c r="AJ154" s="141" t="s">
        <v>1239</v>
      </c>
      <c r="AO154" s="141" t="s">
        <v>446</v>
      </c>
      <c r="AQ154" s="141" t="s">
        <v>440</v>
      </c>
      <c r="AS154" s="141" t="s">
        <v>439</v>
      </c>
      <c r="AU154" s="141" t="s">
        <v>717</v>
      </c>
      <c r="AW154" s="141" t="s">
        <v>718</v>
      </c>
      <c r="AY154" s="141" t="s">
        <v>759</v>
      </c>
      <c r="BA154" s="141" t="s">
        <v>760</v>
      </c>
      <c r="BC154" s="141" t="s">
        <v>1105</v>
      </c>
      <c r="BD154" s="141" t="s">
        <v>439</v>
      </c>
    </row>
    <row r="155" spans="1:57" hidden="1">
      <c r="A155" s="396"/>
      <c r="B155" s="605"/>
      <c r="C155" s="474" t="s">
        <v>857</v>
      </c>
      <c r="D155" s="338">
        <v>1.2</v>
      </c>
      <c r="E155" s="399" t="s">
        <v>862</v>
      </c>
      <c r="F155" s="472">
        <v>0.2</v>
      </c>
      <c r="G155" s="414"/>
      <c r="H155" s="603" t="s">
        <v>856</v>
      </c>
      <c r="I155" s="604">
        <v>0.24399999999999999</v>
      </c>
      <c r="J155" s="603" t="s">
        <v>856</v>
      </c>
      <c r="K155" s="604">
        <v>0.31</v>
      </c>
      <c r="L155" s="603" t="s">
        <v>856</v>
      </c>
      <c r="M155" s="604">
        <v>0.4</v>
      </c>
      <c r="N155" s="603" t="s">
        <v>856</v>
      </c>
      <c r="O155" s="604">
        <v>0.57999999999999996</v>
      </c>
      <c r="P155" s="603" t="s">
        <v>856</v>
      </c>
      <c r="Q155" s="604">
        <v>0.75</v>
      </c>
      <c r="R155" s="603" t="s">
        <v>867</v>
      </c>
      <c r="S155" s="604">
        <v>0.99</v>
      </c>
      <c r="T155" s="603" t="s">
        <v>867</v>
      </c>
      <c r="U155" s="604">
        <v>1.23</v>
      </c>
      <c r="V155" s="967"/>
      <c r="W155" s="967"/>
      <c r="X155" s="967"/>
      <c r="Y155" s="967"/>
      <c r="Z155" s="967"/>
      <c r="AA155" s="967"/>
      <c r="AB155" s="967"/>
      <c r="AC155" s="967"/>
      <c r="AD155" s="967"/>
      <c r="AE155" s="967"/>
      <c r="AF155" s="967"/>
      <c r="AG155" s="967"/>
      <c r="AH155" s="967"/>
      <c r="AJ155" s="141" t="s">
        <v>857</v>
      </c>
      <c r="AK155" s="141">
        <v>1.2</v>
      </c>
      <c r="AL155" s="141" t="s">
        <v>862</v>
      </c>
      <c r="AM155" s="141">
        <v>0.2</v>
      </c>
      <c r="AO155" s="141" t="s">
        <v>856</v>
      </c>
      <c r="AP155" s="141">
        <v>0.23200000000000001</v>
      </c>
      <c r="AQ155" s="141" t="s">
        <v>856</v>
      </c>
      <c r="AR155" s="141">
        <v>0.28999999999999998</v>
      </c>
      <c r="AS155" s="141" t="s">
        <v>856</v>
      </c>
      <c r="AT155" s="141">
        <v>0.4</v>
      </c>
      <c r="AU155" s="141" t="s">
        <v>856</v>
      </c>
      <c r="AV155" s="141">
        <v>0.57999999999999996</v>
      </c>
      <c r="AW155" s="141" t="s">
        <v>856</v>
      </c>
      <c r="AX155" s="141">
        <v>0.75</v>
      </c>
      <c r="AY155" s="141" t="s">
        <v>867</v>
      </c>
      <c r="AZ155" s="141">
        <v>0.99</v>
      </c>
      <c r="BA155" s="141" t="s">
        <v>867</v>
      </c>
      <c r="BB155" s="141">
        <v>1.23</v>
      </c>
    </row>
    <row r="156" spans="1:57" hidden="1">
      <c r="A156" s="396"/>
      <c r="B156" s="605"/>
      <c r="C156" s="474" t="s">
        <v>858</v>
      </c>
      <c r="D156" s="338">
        <v>1</v>
      </c>
      <c r="E156" s="399" t="s">
        <v>859</v>
      </c>
      <c r="F156" s="472">
        <v>0.23</v>
      </c>
      <c r="G156" s="414"/>
      <c r="H156" s="603"/>
      <c r="I156" s="604"/>
      <c r="J156" s="603"/>
      <c r="K156" s="604"/>
      <c r="L156" s="603"/>
      <c r="M156" s="604"/>
      <c r="N156" s="603"/>
      <c r="O156" s="604"/>
      <c r="P156" s="603"/>
      <c r="Q156" s="604"/>
      <c r="R156" s="706"/>
      <c r="S156" s="707"/>
      <c r="T156" s="706"/>
      <c r="U156" s="707"/>
      <c r="V156" s="966"/>
      <c r="W156" s="966"/>
      <c r="X156" s="966"/>
      <c r="Y156" s="966"/>
      <c r="Z156" s="966"/>
      <c r="AA156" s="966"/>
      <c r="AB156" s="966"/>
      <c r="AC156" s="966"/>
      <c r="AD156" s="966"/>
      <c r="AE156" s="966"/>
      <c r="AF156" s="966"/>
      <c r="AG156" s="966"/>
      <c r="AH156" s="966"/>
      <c r="AJ156" s="141" t="s">
        <v>858</v>
      </c>
      <c r="AK156" s="141">
        <v>1</v>
      </c>
      <c r="AL156" s="141" t="s">
        <v>859</v>
      </c>
      <c r="AM156" s="141">
        <v>0.23</v>
      </c>
    </row>
    <row r="157" spans="1:57" hidden="1">
      <c r="A157" s="396"/>
      <c r="B157" s="605"/>
      <c r="C157" s="474" t="s">
        <v>860</v>
      </c>
      <c r="D157" s="338">
        <v>0.5</v>
      </c>
      <c r="E157" s="399" t="s">
        <v>861</v>
      </c>
      <c r="F157" s="472">
        <v>0.23</v>
      </c>
      <c r="G157" s="414"/>
      <c r="H157" s="603"/>
      <c r="I157" s="604"/>
      <c r="J157" s="603"/>
      <c r="K157" s="604"/>
      <c r="L157" s="603"/>
      <c r="M157" s="604"/>
      <c r="N157" s="603"/>
      <c r="O157" s="604"/>
      <c r="P157" s="603"/>
      <c r="Q157" s="604"/>
      <c r="R157" s="706"/>
      <c r="S157" s="707"/>
      <c r="T157" s="706"/>
      <c r="U157" s="707"/>
      <c r="V157" s="966"/>
      <c r="W157" s="966"/>
      <c r="X157" s="966"/>
      <c r="Y157" s="966"/>
      <c r="Z157" s="966"/>
      <c r="AA157" s="966"/>
      <c r="AB157" s="966"/>
      <c r="AC157" s="966"/>
      <c r="AD157" s="966"/>
      <c r="AE157" s="966"/>
      <c r="AF157" s="966"/>
      <c r="AG157" s="966"/>
      <c r="AH157" s="966"/>
      <c r="AJ157" s="141" t="s">
        <v>860</v>
      </c>
      <c r="AK157" s="141">
        <v>0.5</v>
      </c>
      <c r="AL157" s="141" t="s">
        <v>861</v>
      </c>
      <c r="AM157" s="141">
        <v>0.23</v>
      </c>
    </row>
    <row r="158" spans="1:57" hidden="1">
      <c r="A158" s="396"/>
      <c r="B158" s="605"/>
      <c r="C158" s="474" t="s">
        <v>865</v>
      </c>
      <c r="D158" s="338">
        <v>0.15</v>
      </c>
      <c r="E158" s="399" t="s">
        <v>866</v>
      </c>
      <c r="F158" s="472">
        <v>0.35</v>
      </c>
      <c r="G158" s="414"/>
      <c r="H158" s="603"/>
      <c r="I158" s="604"/>
      <c r="J158" s="603"/>
      <c r="K158" s="604"/>
      <c r="L158" s="603"/>
      <c r="M158" s="604"/>
      <c r="N158" s="603"/>
      <c r="O158" s="604"/>
      <c r="P158" s="603"/>
      <c r="Q158" s="604"/>
      <c r="R158" s="706"/>
      <c r="S158" s="707"/>
      <c r="T158" s="706"/>
      <c r="U158" s="707"/>
      <c r="V158" s="966"/>
      <c r="W158" s="966"/>
      <c r="X158" s="966"/>
      <c r="Y158" s="966"/>
      <c r="Z158" s="966"/>
      <c r="AA158" s="966"/>
      <c r="AB158" s="966"/>
      <c r="AC158" s="966"/>
      <c r="AD158" s="966"/>
      <c r="AE158" s="966"/>
      <c r="AF158" s="966"/>
      <c r="AG158" s="966"/>
      <c r="AH158" s="966"/>
      <c r="AJ158" s="141" t="s">
        <v>865</v>
      </c>
      <c r="AK158" s="141">
        <v>0.15</v>
      </c>
      <c r="AL158" s="141" t="s">
        <v>866</v>
      </c>
      <c r="AM158" s="141">
        <v>0.35</v>
      </c>
    </row>
    <row r="159" spans="1:57" hidden="1">
      <c r="A159" s="396"/>
      <c r="B159" s="605"/>
      <c r="C159" s="474" t="s">
        <v>863</v>
      </c>
      <c r="D159" s="338">
        <v>0.56000000000000005</v>
      </c>
      <c r="E159" s="399"/>
      <c r="F159" s="472"/>
      <c r="G159" s="414"/>
      <c r="H159" s="603"/>
      <c r="I159" s="604"/>
      <c r="J159" s="603"/>
      <c r="K159" s="604"/>
      <c r="L159" s="603"/>
      <c r="M159" s="604"/>
      <c r="N159" s="603"/>
      <c r="O159" s="604"/>
      <c r="P159" s="603"/>
      <c r="Q159" s="604"/>
      <c r="R159" s="706"/>
      <c r="S159" s="707"/>
      <c r="T159" s="706"/>
      <c r="U159" s="707"/>
      <c r="V159" s="966"/>
      <c r="W159" s="966"/>
      <c r="X159" s="966"/>
      <c r="Y159" s="966"/>
      <c r="Z159" s="966"/>
      <c r="AA159" s="966"/>
      <c r="AB159" s="966"/>
      <c r="AC159" s="966"/>
      <c r="AD159" s="966"/>
      <c r="AE159" s="966"/>
      <c r="AF159" s="966"/>
      <c r="AG159" s="966"/>
      <c r="AH159" s="966"/>
      <c r="AJ159" s="141" t="s">
        <v>863</v>
      </c>
      <c r="AK159" s="141">
        <v>0.56000000000000005</v>
      </c>
      <c r="BC159" s="141" t="s">
        <v>1111</v>
      </c>
      <c r="BD159" s="141" t="s">
        <v>1112</v>
      </c>
    </row>
    <row r="160" spans="1:57" ht="25.5" hidden="1">
      <c r="A160" s="396"/>
      <c r="B160" s="396"/>
      <c r="C160" s="474" t="str">
        <f>CONCATENATE("CC in CM( 1:4:8) PI/4x(0.9+0.46+0.3)x0.15=",E160)</f>
        <v>CC in CM( 1:4:8) PI/4x(0.9+0.46+0.3)x0.15=0.76026542216873</v>
      </c>
      <c r="D160" s="338" t="s">
        <v>109</v>
      </c>
      <c r="E160" s="489">
        <f>M160</f>
        <v>0.76026542216872983</v>
      </c>
      <c r="F160" s="472">
        <f>F53</f>
        <v>5383.2900000000009</v>
      </c>
      <c r="G160" s="477">
        <f t="shared" ref="G160:G166" si="24">+ROUND(E160*F160,2)</f>
        <v>4092.73</v>
      </c>
      <c r="H160" s="477"/>
      <c r="I160" s="477">
        <f>(PI()/4)*(($D$155+(2*$F$158))+0.3)^2*$F$155</f>
        <v>0.76026542216872983</v>
      </c>
      <c r="J160" s="477"/>
      <c r="K160" s="477">
        <f>(PI()/4)*(($D$155+(2*$F$158))+0.3)^2*$F$155</f>
        <v>0.76026542216872983</v>
      </c>
      <c r="L160" s="477"/>
      <c r="M160" s="822">
        <f>((PI()/4)*(($D$155+(2*$F$158))+0.3)^2)*$F$155</f>
        <v>0.76026542216872983</v>
      </c>
      <c r="N160" s="477"/>
      <c r="O160" s="477">
        <f>(PI()/4)*(($D$155+(2*$F$158))+0.3)^2*$F$155</f>
        <v>0.76026542216872983</v>
      </c>
      <c r="P160" s="477"/>
      <c r="Q160" s="477">
        <f>(PI()/4)*(($D$155+(2*$F$158))+0.3)^2*$F$155</f>
        <v>0.76026542216872983</v>
      </c>
      <c r="R160" s="477"/>
      <c r="S160" s="477">
        <f>(PI()/4)*(($D$155+(2*$F$158))+0.3)^2*$F$155</f>
        <v>0.76026542216872983</v>
      </c>
      <c r="T160" s="477"/>
      <c r="U160" s="477">
        <f>(PI()/4)*(($D$155+(2*$F$158))+0.3)^2*$F$155</f>
        <v>0.76026542216872983</v>
      </c>
      <c r="V160" s="447"/>
      <c r="W160" s="447"/>
      <c r="X160" s="447"/>
      <c r="Y160" s="447"/>
      <c r="Z160" s="447"/>
      <c r="AA160" s="447"/>
      <c r="AB160" s="447"/>
      <c r="AC160" s="447"/>
      <c r="AD160" s="447"/>
      <c r="AE160" s="447"/>
      <c r="AF160" s="447"/>
      <c r="AG160" s="447"/>
      <c r="AH160" s="447"/>
      <c r="AJ160" s="141" t="s">
        <v>171</v>
      </c>
      <c r="AK160" s="141" t="s">
        <v>109</v>
      </c>
      <c r="AL160" s="141">
        <v>0.76026542216872983</v>
      </c>
      <c r="AM160" s="141">
        <v>4283.59</v>
      </c>
      <c r="AN160" s="141">
        <v>3256.67</v>
      </c>
      <c r="AP160" s="141">
        <v>0.76026542216872983</v>
      </c>
      <c r="AR160" s="141">
        <v>0.76026542216872983</v>
      </c>
      <c r="AT160" s="141">
        <v>0.76026542216872983</v>
      </c>
      <c r="AV160" s="141">
        <v>0.76026542216872983</v>
      </c>
      <c r="AX160" s="141">
        <v>0.76026542216872983</v>
      </c>
      <c r="AZ160" s="141">
        <v>0.76026542216872983</v>
      </c>
      <c r="BB160" s="141">
        <v>0.76026542216872983</v>
      </c>
      <c r="BC160" s="141">
        <v>3256.67</v>
      </c>
      <c r="BD160" s="141">
        <v>3256.67</v>
      </c>
    </row>
    <row r="161" spans="1:56" ht="51" hidden="1">
      <c r="A161" s="396"/>
      <c r="B161" s="396"/>
      <c r="C161" s="474" t="str">
        <f>CONCATENATE("2nd Class Brick Masonory in cm (1: 6) Prop using 2nd class bricks for Uniform Section( PIx1.13x0.23x0.4)-(PI/4*0.23*0.23*.23*2)=",E161)</f>
        <v>2nd Class Brick Masonory in cm (1: 6) Prop using 2nd class bricks for Uniform Section( PIx1.13x0.23x0.4)-(PI/4*0.23*0.23*.23*2)=0.703282014068711</v>
      </c>
      <c r="D161" s="338" t="s">
        <v>109</v>
      </c>
      <c r="E161" s="489">
        <f t="shared" ref="E161:E165" si="25">M161</f>
        <v>0.70328201406871083</v>
      </c>
      <c r="F161" s="472">
        <f>F54</f>
        <v>8504.4699999999993</v>
      </c>
      <c r="G161" s="477">
        <f t="shared" si="24"/>
        <v>5981.04</v>
      </c>
      <c r="H161" s="479">
        <f>ROUND(PI()/4*I155*I155*(($D$158/I155)*$F$158+(((I155-$D$158)/I155)*$F$157))*2,3)</f>
        <v>2.8000000000000001E-2</v>
      </c>
      <c r="I161" s="479">
        <f>(PI()*($D$155+$F$158)*$F$158*$D$158)+(PI()*($D$155+$F$157)*$F$157*$D$157)-H161</f>
        <v>0.74428201406871075</v>
      </c>
      <c r="J161" s="479">
        <f>ROUND(PI()/4*K155*K155*(($D$158/K155)*$F$158+(((K155-$D$158)/K155)*$F$157))*2,3)</f>
        <v>4.2999999999999997E-2</v>
      </c>
      <c r="K161" s="479">
        <f>(PI()*($D$155+$F$158)*$F$158*$D$158)+(PI()*($D$155+$F$157)*$F$157*$D$157)-J161</f>
        <v>0.72928201406871074</v>
      </c>
      <c r="L161" s="479">
        <f>ROUND((PI()/4)*M155*M155*(($D$158/M155)*$F$158+(((M155-$D$158)/M155)*$F$157))*2,3)</f>
        <v>6.9000000000000006E-2</v>
      </c>
      <c r="M161" s="479">
        <f>(PI()*($D$155+$F$158)*$F$158*$D$158)+(PI()*($D$155+$F$157)*$F$157*$D$157)-L161</f>
        <v>0.70328201406871083</v>
      </c>
      <c r="N161" s="479">
        <f>ROUND(PI()/4*O155*O155*(($D$158/O155)*$F$158+(((O155-$D$158)/O155)*$F$157))*2,3)</f>
        <v>0.13800000000000001</v>
      </c>
      <c r="O161" s="479">
        <f>(PI()*($D$155+$F$158)*$F$158*$D$158)+(PI()*($D$155+$F$157)*$F$157*$D$157)-N161</f>
        <v>0.63428201406871076</v>
      </c>
      <c r="P161" s="479">
        <f>ROUND(PI()/4*Q155*Q155*(($D$158/Q155)*$F$158+(((Q155-$D$158)/Q155)*$F$157))*2,3)</f>
        <v>0.224</v>
      </c>
      <c r="Q161" s="479">
        <f>(PI()*($D$155+$F$158)*$F$158*$D$158)+(PI()*($D$155+$F$157)*$F$157*$D$157)-P161</f>
        <v>0.5482820140687108</v>
      </c>
      <c r="R161" s="479">
        <f>ROUND(PI()/4*S155*S155*(($D$158/S155)*$F$158+(((S155-$D$158)/S155)*$F$157))*2,3)</f>
        <v>0.38200000000000001</v>
      </c>
      <c r="S161" s="479">
        <f>(PI()*($D$155+$F$158)*$F$158*$D$158)+(PI()*($D$155+$F$157)*$F$157*$D$157)-R161</f>
        <v>0.39028201406871077</v>
      </c>
      <c r="T161" s="479">
        <f>ROUND(PI()/4*U155*U155*(($D$158/U155)*$F$158+(((U155-$D$158)/U155)*$F$157))*2,3)</f>
        <v>0.58099999999999996</v>
      </c>
      <c r="U161" s="479">
        <f>(PI()*($D$155+$F$158)*$F$158*$D$158)+(PI()*($D$155+$F$157)*$F$157*$D$157)-T161</f>
        <v>0.19128201406871082</v>
      </c>
      <c r="V161" s="465"/>
      <c r="W161" s="465"/>
      <c r="X161" s="465"/>
      <c r="Y161" s="465"/>
      <c r="Z161" s="465"/>
      <c r="AA161" s="465"/>
      <c r="AB161" s="465"/>
      <c r="AC161" s="465"/>
      <c r="AD161" s="465"/>
      <c r="AE161" s="465"/>
      <c r="AF161" s="465"/>
      <c r="AG161" s="465"/>
      <c r="AH161" s="465"/>
      <c r="AJ161" s="141" t="s">
        <v>1240</v>
      </c>
      <c r="AK161" s="141" t="s">
        <v>109</v>
      </c>
      <c r="AL161" s="141">
        <v>0.74628201406871075</v>
      </c>
      <c r="AM161" s="141">
        <v>9426.75</v>
      </c>
      <c r="AN161" s="141">
        <v>7035.01</v>
      </c>
      <c r="AO161" s="141">
        <v>2.5999999999999999E-2</v>
      </c>
      <c r="AP161" s="141">
        <v>0.74628201406871075</v>
      </c>
      <c r="AQ161" s="141">
        <v>3.9E-2</v>
      </c>
      <c r="AR161" s="141">
        <v>0.73328201406871074</v>
      </c>
      <c r="AS161" s="141">
        <v>6.9000000000000006E-2</v>
      </c>
      <c r="AT161" s="141">
        <v>0.70328201406871083</v>
      </c>
      <c r="AU161" s="141">
        <v>0.13800000000000001</v>
      </c>
      <c r="AV161" s="141">
        <v>0.63428201406871076</v>
      </c>
      <c r="AW161" s="141">
        <v>0.224</v>
      </c>
      <c r="AX161" s="141">
        <v>0.5482820140687108</v>
      </c>
      <c r="AY161" s="141">
        <v>0.38200000000000001</v>
      </c>
      <c r="AZ161" s="141">
        <v>0.39028201406871077</v>
      </c>
      <c r="BA161" s="141">
        <v>0.58099999999999996</v>
      </c>
      <c r="BB161" s="141">
        <v>0.19128201406871082</v>
      </c>
      <c r="BC161" s="141">
        <v>6912.47</v>
      </c>
      <c r="BD161" s="141">
        <v>6629.66</v>
      </c>
    </row>
    <row r="162" spans="1:56" ht="51" hidden="1">
      <c r="A162" s="396"/>
      <c r="B162" s="396"/>
      <c r="C162" s="474" t="str">
        <f>CONCATENATE("2nd Class Brick Masonory work  in cm (1: 6) )Prop using 2nd class bricks for Carbelling Portion Pix(1.13+0.78)/2x0.23x(0.6-.25)=",E162)</f>
        <v>2nd Class Brick Masonory work  in cm (1: 6) )Prop using 2nd class bricks for Carbelling Portion Pix(1.13+0.78)/2x0.23x(0.6-.25)=0.601536453346106</v>
      </c>
      <c r="D162" s="338" t="s">
        <v>109</v>
      </c>
      <c r="E162" s="489">
        <f t="shared" si="25"/>
        <v>0.60153645334610573</v>
      </c>
      <c r="F162" s="472">
        <f>F161</f>
        <v>8504.4699999999993</v>
      </c>
      <c r="G162" s="477">
        <f t="shared" si="24"/>
        <v>5115.75</v>
      </c>
      <c r="H162" s="389"/>
      <c r="I162" s="389">
        <f>(PI()*(($D$155+$F$156+$D$159+$F$156)/2)*$F$156)*($D$156-0.25)</f>
        <v>0.60153645334610573</v>
      </c>
      <c r="J162" s="389"/>
      <c r="K162" s="389">
        <f>(PI()*(($D$155+$F$156+$D$159+$F$156)/2)*$F$156)*($D$156-0.25)</f>
        <v>0.60153645334610573</v>
      </c>
      <c r="L162" s="493"/>
      <c r="M162" s="868">
        <f>(PI()*(($D$155+$F$156+$D$159+$F$156)/2)*$F$156)*($D$156-0.25)</f>
        <v>0.60153645334610573</v>
      </c>
      <c r="N162" s="389"/>
      <c r="O162" s="389">
        <f>(PI()*(($D$155+$F$156+$D$159+$F$156)/2)*$F$156)*($D$156-0.25)</f>
        <v>0.60153645334610573</v>
      </c>
      <c r="P162" s="389"/>
      <c r="Q162" s="389">
        <f>(PI()*(($D$155+$F$156+$D$159+$F$156)/2)*$F$156)*($D$156-0.25)</f>
        <v>0.60153645334610573</v>
      </c>
      <c r="R162" s="493"/>
      <c r="S162" s="389">
        <f>(PI()*(($D$155+$F$156+$D$159+$F$156)/2)*$F$156)*($D$156-0.25)</f>
        <v>0.60153645334610573</v>
      </c>
      <c r="T162" s="493"/>
      <c r="U162" s="389">
        <f>(PI()*(($D$155+$F$156+$D$159+$F$156)/2)*$F$156)*($D$156-0.25)</f>
        <v>0.60153645334610573</v>
      </c>
      <c r="V162" s="165"/>
      <c r="W162" s="165"/>
      <c r="X162" s="165"/>
      <c r="Y162" s="165"/>
      <c r="Z162" s="165"/>
      <c r="AA162" s="165"/>
      <c r="AB162" s="165"/>
      <c r="AC162" s="165"/>
      <c r="AD162" s="165"/>
      <c r="AE162" s="165"/>
      <c r="AF162" s="165"/>
      <c r="AG162" s="165"/>
      <c r="AH162" s="165"/>
      <c r="AJ162" s="141" t="s">
        <v>1237</v>
      </c>
      <c r="AK162" s="141" t="s">
        <v>109</v>
      </c>
      <c r="AL162" s="141">
        <v>0.60153645334610573</v>
      </c>
      <c r="AM162" s="141">
        <v>9426.75</v>
      </c>
      <c r="AN162" s="141">
        <v>5670.53</v>
      </c>
      <c r="AP162" s="141">
        <v>0.60153645334610573</v>
      </c>
      <c r="AR162" s="141">
        <v>0.60153645334610573</v>
      </c>
      <c r="AT162" s="141">
        <v>0.60153645334610573</v>
      </c>
      <c r="AV162" s="141">
        <v>0.60153645334610573</v>
      </c>
      <c r="AX162" s="141">
        <v>0.60153645334610573</v>
      </c>
      <c r="AZ162" s="141">
        <v>0.60153645334610573</v>
      </c>
      <c r="BB162" s="141">
        <v>0.60153645334610573</v>
      </c>
      <c r="BC162" s="141">
        <v>5670.53</v>
      </c>
      <c r="BD162" s="141">
        <v>5670.53</v>
      </c>
    </row>
    <row r="163" spans="1:56" ht="51" hidden="1">
      <c r="A163" s="396"/>
      <c r="B163" s="396"/>
      <c r="C163" s="970" t="str">
        <f>CONCATENATE("External Plastering in CM(1:4) of 12 mm thick vertical portion Pix(.9+.23*2)x0.40 and sloped portion Pix(1.36+1.01)/2x(0.6-.25)  Dedcut Pipe Portion 2xPI()/4x0.23x0.23=",E163)</f>
        <v>External Plastering in CM(1:4) of 12 mm thick vertical portion Pix(.9+.23*2)x0.40 and sloped portion Pix(1.36+1.01)/2x(0.6-.25)  Dedcut Pipe Portion 2xPI()/4x0.23x0.23=6.40917642561036</v>
      </c>
      <c r="D163" s="338" t="s">
        <v>224</v>
      </c>
      <c r="E163" s="489">
        <f t="shared" si="25"/>
        <v>6.4091764256103607</v>
      </c>
      <c r="F163" s="472">
        <f>F106</f>
        <v>170.45499999999998</v>
      </c>
      <c r="G163" s="477">
        <f t="shared" si="24"/>
        <v>1092.48</v>
      </c>
      <c r="H163" s="389">
        <f>ROUND(PI()/4*I155*I155*2,3)</f>
        <v>9.4E-2</v>
      </c>
      <c r="I163" s="389">
        <f>(PI()*($D$155+2*($F$158))*($D$158))+(PI()*($D$155+(2*$F$157))*$D$157)+(PI()*(($D$155+2*($F$156)+$D$159+2*($F$156))/2)*($D$156-0.25))-H163</f>
        <v>6.5661764256103607</v>
      </c>
      <c r="J163" s="389">
        <f>ROUND(PI()/4*K155*K155*2,3)</f>
        <v>0.151</v>
      </c>
      <c r="K163" s="389">
        <f>(PI()*($D$155+2*($F$158))*($D$158))+(PI()*($D$155+(2*$F$157))*$D$157)+(PI()*(($D$155+2*($F$156)+$D$159+2*($F$156))/2)*($D$156-0.25))-J163</f>
        <v>6.5091764256103612</v>
      </c>
      <c r="L163" s="389">
        <f>ROUND(PI()/4*M155*M155*2,3)</f>
        <v>0.251</v>
      </c>
      <c r="M163" s="868">
        <f>(PI()*($D$155+2*($F$158))*($D$158))+(PI()*($D$155+(2*$F$157))*$D$157)+(PI()*(($D$155+2*($F$156)+$D$159+2*($F$156))/2)*($D$156-0.25))-L163</f>
        <v>6.4091764256103607</v>
      </c>
      <c r="N163" s="389">
        <f>ROUND(PI()/4*O155*O155*2,3)</f>
        <v>0.52800000000000002</v>
      </c>
      <c r="O163" s="389">
        <f>(PI()*($D$155+2*($F$158))*($D$158))+(PI()*($D$155+(2*$F$157))*$D$157)+(PI()*(($D$155+2*($F$156)+$D$159+2*($F$156))/2)*($D$156-0.25))-N163</f>
        <v>6.1321764256103606</v>
      </c>
      <c r="P163" s="389">
        <f>ROUND(PI()/4*Q155*Q155*2,3)</f>
        <v>0.88400000000000001</v>
      </c>
      <c r="Q163" s="389">
        <f>(PI()*($D$155+2*($F$158))*($D$158))+(PI()*($D$155+(2*$F$157))*$D$157)+(PI()*(($D$155+2*($F$156)+$D$159+2*($F$156))/2)*($D$156-0.25))-P163</f>
        <v>5.7761764256103607</v>
      </c>
      <c r="R163" s="389">
        <f>ROUND(PI()/4*S155*S155*2,3)</f>
        <v>1.54</v>
      </c>
      <c r="S163" s="389">
        <f>(PI()*($D$155+2*($F$158))*($D$158))+(PI()*($D$155+(2*$F$157))*$D$157)+(PI()*(($D$155+2*($F$156)+$D$159+2*($F$156))/2)*($D$156-0.25))-R163</f>
        <v>5.120176425610361</v>
      </c>
      <c r="T163" s="389">
        <f>ROUND(PI()/4*U155*U155*2,3)</f>
        <v>2.3759999999999999</v>
      </c>
      <c r="U163" s="389">
        <f>(PI()*($D$155+2*($F$158))*($D$158))+(PI()*($D$155+(2*$F$157))*$D$157)+(PI()*(($D$155+2*($F$156)+$D$159+2*($F$156))/2)*($D$156-0.25))-T163</f>
        <v>4.2841764256103616</v>
      </c>
      <c r="V163" s="165"/>
      <c r="W163" s="165"/>
      <c r="X163" s="165"/>
      <c r="Y163" s="165"/>
      <c r="Z163" s="165"/>
      <c r="AA163" s="165"/>
      <c r="AB163" s="165"/>
      <c r="AC163" s="165"/>
      <c r="AD163" s="165"/>
      <c r="AE163" s="165"/>
      <c r="AF163" s="165"/>
      <c r="AG163" s="165"/>
      <c r="AH163" s="165"/>
      <c r="AJ163" s="141" t="s">
        <v>1109</v>
      </c>
      <c r="AK163" s="141" t="s">
        <v>224</v>
      </c>
      <c r="AL163" s="141">
        <v>6.5751764256103611</v>
      </c>
      <c r="AM163" s="141">
        <v>166.45400000000001</v>
      </c>
      <c r="AN163" s="141">
        <v>1094.46</v>
      </c>
      <c r="AO163" s="141">
        <v>8.5000000000000006E-2</v>
      </c>
      <c r="AP163" s="141">
        <v>6.5751764256103611</v>
      </c>
      <c r="AQ163" s="141">
        <v>0.13200000000000001</v>
      </c>
      <c r="AR163" s="141">
        <v>6.5281764256103614</v>
      </c>
      <c r="AS163" s="141">
        <v>0.251</v>
      </c>
      <c r="AT163" s="141">
        <v>6.4091764256103607</v>
      </c>
      <c r="AU163" s="141">
        <v>0.52800000000000002</v>
      </c>
      <c r="AV163" s="141">
        <v>6.1321764256103606</v>
      </c>
      <c r="AW163" s="141">
        <v>0.88400000000000001</v>
      </c>
      <c r="AX163" s="141">
        <v>5.7761764256103607</v>
      </c>
      <c r="AY163" s="141">
        <v>1.54</v>
      </c>
      <c r="AZ163" s="141">
        <v>5.120176425610361</v>
      </c>
      <c r="BA163" s="141">
        <v>2.3759999999999999</v>
      </c>
      <c r="BB163" s="141">
        <v>4.2841764256103616</v>
      </c>
      <c r="BC163" s="141">
        <v>1086.6400000000001</v>
      </c>
      <c r="BD163" s="141">
        <v>1066.83</v>
      </c>
    </row>
    <row r="164" spans="1:56" ht="51" hidden="1">
      <c r="A164" s="396"/>
      <c r="B164" s="396"/>
      <c r="C164" s="474" t="str">
        <f>CONCATENATE("Internal Plastering in CM(1:4) of 20 mm thick uniform portion PIx0.90x0.4 and Sloped Portion Pix(0.90+0.56)/2x(.6-.25)  Dedcut Pipe Portion 2xPI()/4x0.25x0.25=",E164)</f>
        <v>Internal Plastering in CM(1:4) of 20 mm thick uniform portion PIx0.90x0.4 and Sloped Portion Pix(0.90+0.56)/2x(.6-.25)  Dedcut Pipe Portion 2xPI()/4x0.25x0.25=3.0158934211693</v>
      </c>
      <c r="D164" s="338" t="s">
        <v>224</v>
      </c>
      <c r="E164" s="489">
        <f t="shared" si="25"/>
        <v>3.0158934211693014</v>
      </c>
      <c r="F164" s="472">
        <f>F107</f>
        <v>259.48599999999999</v>
      </c>
      <c r="G164" s="477">
        <f t="shared" si="24"/>
        <v>782.58</v>
      </c>
      <c r="H164" s="389">
        <f>ROUND(PI()*$D$155*I155,3)</f>
        <v>0.92</v>
      </c>
      <c r="I164" s="490">
        <f>((PI()*$D$155*$D$158)+(PI()*($D$155)*$D$157)+(PI()*($D$155+$D$159)/2*($D$156-0.175)))-H164</f>
        <v>3.8112385363062282</v>
      </c>
      <c r="J164" s="389">
        <f>ROUND(PI()*$D$155*K155,3)</f>
        <v>1.169</v>
      </c>
      <c r="K164" s="490">
        <f>((PI()*$D$155*$D$158)+(PI()*($D$155)*$D$157)+(PI()*($D$155+$D$159)/2*($D$156-0.175)))-J164</f>
        <v>3.5622385363062281</v>
      </c>
      <c r="L164" s="389">
        <f>ROUND(PI()*$D$155*M155,3)</f>
        <v>1.508</v>
      </c>
      <c r="M164" s="869">
        <f>((PI()*$D$155*$D$158)+(PI()*($D$155)*$D$157)+(PI()*(($D$155+$D$159)/2)*($D$156-0.25)))-L164</f>
        <v>3.0158934211693014</v>
      </c>
      <c r="N164" s="389">
        <f>ROUND(PI()*$D$155*O155,3)</f>
        <v>2.1869999999999998</v>
      </c>
      <c r="O164" s="490">
        <f>((PI()*$D$155*$D$158)+(PI()*($D$155)*$D$157)+(PI()*($D$155+$D$159)/2*($D$156-0.175)))-N164</f>
        <v>2.5442385363062283</v>
      </c>
      <c r="P164" s="389">
        <f>ROUND(PI()*$D$155*Q155,3)</f>
        <v>2.827</v>
      </c>
      <c r="Q164" s="490">
        <f>((PI()*$D$155*$D$158)+(PI()*($D$155)*$D$157)+(PI()*($D$155+$D$159)/2*($D$156-0.175)))-P164</f>
        <v>1.9042385363062282</v>
      </c>
      <c r="R164" s="389">
        <f>ROUND(PI()*$D$155*S155,3)</f>
        <v>3.7320000000000002</v>
      </c>
      <c r="S164" s="490">
        <f>((PI()*$D$155*$D$158)+(PI()*($D$155)*$D$157)+(PI()*($D$155+$D$159)/2*($D$156-0.175)))-R164</f>
        <v>0.99923853630622794</v>
      </c>
      <c r="T164" s="389">
        <f>ROUND(PI()*$D$155*U155,3)</f>
        <v>4.6369999999999996</v>
      </c>
      <c r="U164" s="490">
        <f>((PI()*$D$155*$D$158)+(PI()*($D$155)*$D$157)+(PI()*($D$155+$D$159)/2*($D$156-0.175)))-T164</f>
        <v>9.4238536306228582E-2</v>
      </c>
      <c r="V164" s="467"/>
      <c r="W164" s="467"/>
      <c r="X164" s="467"/>
      <c r="Y164" s="467"/>
      <c r="Z164" s="467"/>
      <c r="AA164" s="467"/>
      <c r="AB164" s="467"/>
      <c r="AC164" s="467"/>
      <c r="AD164" s="467"/>
      <c r="AE164" s="467"/>
      <c r="AF164" s="467"/>
      <c r="AG164" s="467"/>
      <c r="AH164" s="467"/>
      <c r="AJ164" s="141" t="s">
        <v>1110</v>
      </c>
      <c r="AK164" s="141" t="s">
        <v>224</v>
      </c>
      <c r="AL164" s="141">
        <v>3.6488934211693014</v>
      </c>
      <c r="AM164" s="141">
        <v>253.714</v>
      </c>
      <c r="AN164" s="141">
        <v>925.78</v>
      </c>
      <c r="AO164" s="141">
        <v>0.875</v>
      </c>
      <c r="AP164" s="141">
        <v>3.6488934211693014</v>
      </c>
      <c r="AQ164" s="141">
        <v>1.093</v>
      </c>
      <c r="AR164" s="141">
        <v>3.4308934211693014</v>
      </c>
      <c r="AS164" s="141">
        <v>1.508</v>
      </c>
      <c r="AT164" s="141">
        <v>3.0158934211693014</v>
      </c>
      <c r="AU164" s="141">
        <v>2.1869999999999998</v>
      </c>
      <c r="AV164" s="141">
        <v>2.5442385363062283</v>
      </c>
      <c r="AW164" s="141">
        <v>2.827</v>
      </c>
      <c r="AX164" s="141">
        <v>1.9042385363062282</v>
      </c>
      <c r="AY164" s="141">
        <v>3.7320000000000002</v>
      </c>
      <c r="AZ164" s="141">
        <v>0.99923853630622794</v>
      </c>
      <c r="BA164" s="141">
        <v>4.6369999999999996</v>
      </c>
      <c r="BB164" s="141">
        <v>9.4238536306228582E-2</v>
      </c>
      <c r="BC164" s="141">
        <v>870.47</v>
      </c>
      <c r="BD164" s="141">
        <v>765.17</v>
      </c>
    </row>
    <row r="165" spans="1:56" ht="62.25" hidden="1" customHeight="1">
      <c r="A165" s="396"/>
      <c r="B165" s="396"/>
      <c r="C165" s="473" t="str">
        <f>CONCATENATE("CC Channeling with (1:2.5:5) Prop  PIx0.9x0.9x0.30/4 = over Manhole alround for Cover PIx0.81x0.15x0.10= deduct Channel 0.90x0.25x0.25=",E165)</f>
        <v>CC Channeling with (1:2.5:5) Prop  PIx0.9x0.9x0.30/4 = over Manhole alround for Cover PIx0.81x0.15x0.10= deduct Channel 0.90x0.25x0.25=0.054617239177452</v>
      </c>
      <c r="D165" s="338" t="s">
        <v>109</v>
      </c>
      <c r="E165" s="489">
        <f t="shared" si="25"/>
        <v>5.4617239177451982E-2</v>
      </c>
      <c r="F165" s="472">
        <f>F58</f>
        <v>6018.18</v>
      </c>
      <c r="G165" s="477">
        <f t="shared" si="24"/>
        <v>328.7</v>
      </c>
      <c r="H165" s="389">
        <f>ROUND($D$155*(PI()/4)*I155*I155,3)</f>
        <v>5.6000000000000001E-2</v>
      </c>
      <c r="I165" s="389">
        <f>(((PI()*$D$155^2/4)*I155)+(PI()*($D$155+$F$156)*$F$156*0.075)+(PI()*(0.71+0.08)*0.08*0.175))-H165</f>
        <v>0.33219875022245671</v>
      </c>
      <c r="J165" s="389">
        <f>ROUND($D$155*(PI()/4)*K155*K155,3)</f>
        <v>9.0999999999999998E-2</v>
      </c>
      <c r="K165" s="389">
        <f>(((PI()*$D$155^2/4)*K155)+(PI()*($D$155+$F$156)*$F$156*0.075)+(PI()*(0.71+0.08)*0.08*0.175))-J165</f>
        <v>0.37184299167175017</v>
      </c>
      <c r="L165" s="389">
        <f>ROUND($D$155*(PI()/4)*M155*M155,3)</f>
        <v>0.151</v>
      </c>
      <c r="M165" s="868">
        <f>(((PI()*$D$155^2/4)*0.1)+(PI()*($D$159+$F$156)*$F$156*0.1)+(PI()*(0.86+0.08)*0.08*0.15))-L165</f>
        <v>5.4617239177451982E-2</v>
      </c>
      <c r="N165" s="389">
        <f>ROUND($D$155*(PI()/4)*O155*O155,3)</f>
        <v>0.317</v>
      </c>
      <c r="O165" s="389">
        <f>(((PI()*$D$155^2/4)*O155)+(PI()*($D$155+$F$156)*$F$156*0.075)+(PI()*(0.71+0.08)*0.08*0.175))-N165</f>
        <v>0.45120579760067808</v>
      </c>
      <c r="P165" s="389">
        <f>ROUND($D$155*(PI()/4)*Q155*Q155,3)</f>
        <v>0.53</v>
      </c>
      <c r="Q165" s="389">
        <f>(((PI()*$D$155^2/4)*Q155)+(PI()*($D$155+$F$156)*$F$156*0.075)+(PI()*(0.71+0.08)*0.08*0.175))-P165</f>
        <v>0.4304712680003735</v>
      </c>
      <c r="R165" s="389">
        <f>ROUND($D$155*(PI()/4)*S155*S155,3)</f>
        <v>0.92400000000000004</v>
      </c>
      <c r="S165" s="389">
        <f>(((PI()*$D$155^2/4)*S155)+(PI()*($D$155+$F$156)*$F$156*0.075)+(PI()*(0.71+0.08)*0.08*0.175))-R165</f>
        <v>0.30790487327053151</v>
      </c>
      <c r="T165" s="389">
        <f>ROUND($D$155*(PI()/4)*U155*U155,3)</f>
        <v>1.4259999999999999</v>
      </c>
      <c r="U165" s="389">
        <f>(((PI()*$D$155^2/4)*U155)+(PI()*($D$155+$F$156)*$F$156*0.075)+(PI()*(0.71+0.08)*0.08*0.175))-T165</f>
        <v>7.733847854068987E-2</v>
      </c>
      <c r="V165" s="165"/>
      <c r="W165" s="165"/>
      <c r="X165" s="165"/>
      <c r="Y165" s="165"/>
      <c r="Z165" s="165"/>
      <c r="AA165" s="165"/>
      <c r="AB165" s="165"/>
      <c r="AC165" s="165"/>
      <c r="AD165" s="165"/>
      <c r="AE165" s="165"/>
      <c r="AF165" s="165"/>
      <c r="AG165" s="165"/>
      <c r="AH165" s="165"/>
      <c r="AJ165" s="141" t="s">
        <v>762</v>
      </c>
      <c r="AK165" s="141" t="s">
        <v>109</v>
      </c>
      <c r="AL165" s="141">
        <v>0.15461723917745199</v>
      </c>
      <c r="AM165" s="141">
        <v>5040.1499999999996</v>
      </c>
      <c r="AN165" s="141">
        <v>779.29</v>
      </c>
      <c r="AO165" s="141">
        <v>5.0999999999999997E-2</v>
      </c>
      <c r="AP165" s="141">
        <v>0.15461723917745199</v>
      </c>
      <c r="AQ165" s="141">
        <v>7.9000000000000001E-2</v>
      </c>
      <c r="AR165" s="141">
        <v>0.12661723917745199</v>
      </c>
      <c r="AS165" s="141">
        <v>0.151</v>
      </c>
      <c r="AT165" s="141">
        <v>5.4617239177451982E-2</v>
      </c>
      <c r="AU165" s="141">
        <v>0.317</v>
      </c>
      <c r="AV165" s="141">
        <v>0.45120579760067808</v>
      </c>
      <c r="AW165" s="141">
        <v>0.53</v>
      </c>
      <c r="AX165" s="141">
        <v>0.4304712680003735</v>
      </c>
      <c r="AY165" s="141">
        <v>0.92400000000000004</v>
      </c>
      <c r="AZ165" s="141">
        <v>0.30790487327053151</v>
      </c>
      <c r="BA165" s="141">
        <v>1.4259999999999999</v>
      </c>
      <c r="BB165" s="141">
        <v>7.733847854068987E-2</v>
      </c>
      <c r="BC165" s="141">
        <v>638.16999999999996</v>
      </c>
      <c r="BD165" s="141">
        <v>275.27999999999997</v>
      </c>
    </row>
    <row r="166" spans="1:56" hidden="1">
      <c r="A166" s="396" t="s">
        <v>128</v>
      </c>
      <c r="B166" s="396"/>
      <c r="C166" s="473" t="s">
        <v>225</v>
      </c>
      <c r="D166" s="338" t="s">
        <v>226</v>
      </c>
      <c r="E166" s="399">
        <v>3</v>
      </c>
      <c r="F166" s="472">
        <f>F59</f>
        <v>81</v>
      </c>
      <c r="G166" s="477">
        <f t="shared" si="24"/>
        <v>243</v>
      </c>
      <c r="H166" s="477"/>
      <c r="I166" s="389"/>
      <c r="J166" s="389"/>
      <c r="K166" s="389"/>
      <c r="L166" s="389"/>
      <c r="M166" s="389"/>
      <c r="N166" s="389"/>
      <c r="O166" s="389"/>
      <c r="P166" s="389"/>
      <c r="Q166" s="389"/>
      <c r="R166" s="540"/>
      <c r="S166" s="540"/>
      <c r="T166" s="540"/>
      <c r="U166" s="540"/>
      <c r="AJ166" s="141" t="s">
        <v>225</v>
      </c>
      <c r="AK166" s="141" t="s">
        <v>226</v>
      </c>
      <c r="AL166" s="141">
        <v>3</v>
      </c>
      <c r="AM166" s="141">
        <v>81</v>
      </c>
      <c r="AN166" s="141">
        <v>243</v>
      </c>
      <c r="BC166" s="141">
        <v>243</v>
      </c>
      <c r="BD166" s="141">
        <v>243</v>
      </c>
    </row>
    <row r="167" spans="1:56" hidden="1">
      <c r="A167" s="708"/>
      <c r="B167" s="397"/>
      <c r="C167" s="480" t="s">
        <v>106</v>
      </c>
      <c r="D167" s="338" t="s">
        <v>226</v>
      </c>
      <c r="E167" s="399"/>
      <c r="F167" s="472" t="s">
        <v>154</v>
      </c>
      <c r="G167" s="414">
        <f>SUM(G160:G166)</f>
        <v>17636.280000000002</v>
      </c>
      <c r="H167" s="414"/>
      <c r="I167" s="389"/>
      <c r="J167" s="389"/>
      <c r="K167" s="389"/>
      <c r="L167" s="389"/>
      <c r="M167" s="389">
        <f>((PI()*$D$49*M155))</f>
        <v>1.1309733552923256</v>
      </c>
      <c r="N167" s="389"/>
      <c r="O167" s="389"/>
      <c r="P167" s="389"/>
      <c r="Q167" s="389"/>
      <c r="R167" s="540"/>
      <c r="S167" s="540"/>
      <c r="T167" s="540"/>
      <c r="U167" s="540"/>
      <c r="AJ167" s="141" t="s">
        <v>106</v>
      </c>
      <c r="AK167" s="141" t="s">
        <v>226</v>
      </c>
      <c r="AM167" s="141" t="s">
        <v>154</v>
      </c>
      <c r="AN167" s="141">
        <v>19004.739999999998</v>
      </c>
      <c r="AT167" s="141">
        <v>1.1309733552923256</v>
      </c>
      <c r="BC167" s="141">
        <v>18677.949999999997</v>
      </c>
      <c r="BD167" s="141">
        <v>17907.14</v>
      </c>
    </row>
    <row r="168" spans="1:56" s="197" customFormat="1" hidden="1">
      <c r="A168" s="386"/>
      <c r="B168" s="386"/>
      <c r="C168" s="480"/>
      <c r="D168" s="397"/>
      <c r="E168" s="399"/>
      <c r="F168" s="472"/>
      <c r="G168" s="414"/>
      <c r="H168" s="475"/>
      <c r="I168" s="389"/>
      <c r="J168" s="389"/>
      <c r="K168" s="389"/>
      <c r="L168" s="389"/>
      <c r="M168" s="389"/>
      <c r="N168" s="389"/>
      <c r="O168" s="389"/>
      <c r="P168" s="389"/>
      <c r="Q168" s="389"/>
      <c r="R168" s="657"/>
      <c r="S168" s="657"/>
      <c r="T168" s="657"/>
      <c r="U168" s="657"/>
    </row>
    <row r="169" spans="1:56" s="197" customFormat="1" ht="38.25" hidden="1">
      <c r="A169" s="386"/>
      <c r="B169" s="386"/>
      <c r="C169" s="481" t="s">
        <v>319</v>
      </c>
      <c r="D169" s="388"/>
      <c r="E169" s="387"/>
      <c r="F169" s="475"/>
      <c r="G169" s="482"/>
      <c r="H169" s="475"/>
      <c r="I169" s="384"/>
      <c r="J169" s="384"/>
      <c r="K169" s="384"/>
      <c r="L169" s="384"/>
      <c r="M169" s="384"/>
      <c r="N169" s="384"/>
      <c r="O169" s="384"/>
      <c r="P169" s="384"/>
      <c r="Q169" s="384"/>
      <c r="R169" s="657"/>
      <c r="S169" s="657"/>
      <c r="T169" s="657"/>
      <c r="U169" s="657"/>
      <c r="AJ169" s="197" t="s">
        <v>319</v>
      </c>
    </row>
    <row r="170" spans="1:56" s="197" customFormat="1" hidden="1">
      <c r="A170" s="386"/>
      <c r="B170" s="386"/>
      <c r="C170" s="481" t="s">
        <v>320</v>
      </c>
      <c r="D170" s="388" t="s">
        <v>109</v>
      </c>
      <c r="E170" s="483">
        <f>ROUND(E160*0.9+E165*0.9,2)</f>
        <v>0.73</v>
      </c>
      <c r="F170" s="475">
        <f>Lead!T66</f>
        <v>0</v>
      </c>
      <c r="G170" s="475">
        <v>0</v>
      </c>
      <c r="H170" s="384"/>
      <c r="I170" s="483">
        <f>ROUND(I160*0.9+I165*0.9,2)</f>
        <v>0.98</v>
      </c>
      <c r="J170" s="483"/>
      <c r="K170" s="483">
        <f>ROUND(K160*0.9+K165*0.9,2)</f>
        <v>1.02</v>
      </c>
      <c r="L170" s="384"/>
      <c r="M170" s="483">
        <f>ROUND(M160*0.9+M165*0.9,2)</f>
        <v>0.73</v>
      </c>
      <c r="N170" s="384"/>
      <c r="O170" s="483"/>
      <c r="P170" s="384"/>
      <c r="Q170" s="483"/>
      <c r="R170" s="657"/>
      <c r="S170" s="657"/>
      <c r="T170" s="657"/>
      <c r="U170" s="657"/>
      <c r="AJ170" s="197" t="s">
        <v>320</v>
      </c>
      <c r="AK170" s="197" t="s">
        <v>109</v>
      </c>
      <c r="AL170" s="197">
        <v>0.82</v>
      </c>
      <c r="AM170" s="197">
        <v>0</v>
      </c>
      <c r="AN170" s="197">
        <v>0</v>
      </c>
      <c r="AP170" s="197">
        <v>0.82</v>
      </c>
      <c r="AR170" s="197">
        <v>0.8</v>
      </c>
      <c r="AT170" s="197">
        <v>0.73</v>
      </c>
    </row>
    <row r="171" spans="1:56" s="157" customFormat="1" hidden="1">
      <c r="A171" s="386"/>
      <c r="B171" s="386"/>
      <c r="C171" s="481" t="s">
        <v>321</v>
      </c>
      <c r="D171" s="388" t="s">
        <v>109</v>
      </c>
      <c r="E171" s="483">
        <f>ROUND((E161+E162)*0.2+(E163*0.015+E164*0.021)+(E160+E165)*0.45,2)</f>
        <v>0.79</v>
      </c>
      <c r="F171" s="475">
        <f>Lead!T59</f>
        <v>0</v>
      </c>
      <c r="G171" s="475">
        <v>0</v>
      </c>
      <c r="H171" s="384"/>
      <c r="I171" s="483">
        <f>ROUND((I161+I162)*0.2+(I163*0.015+I164*0.021)+(I160+I165)*0.45,2)</f>
        <v>0.94</v>
      </c>
      <c r="J171" s="483"/>
      <c r="K171" s="483">
        <f>ROUND((K161+K162)*0.2+(K163*0.015+K164*0.021)+(K160+K165)*0.45,2)</f>
        <v>0.95</v>
      </c>
      <c r="L171" s="384"/>
      <c r="M171" s="483">
        <f>ROUND((M161+M162)*0.2+(M163*0.015+M164*0.021)+(M160+M165)*0.45,2)</f>
        <v>0.79</v>
      </c>
      <c r="N171" s="384"/>
      <c r="O171" s="483"/>
      <c r="P171" s="384"/>
      <c r="Q171" s="483"/>
      <c r="R171" s="247"/>
      <c r="S171" s="247"/>
      <c r="T171" s="247"/>
      <c r="U171" s="247"/>
      <c r="AJ171" s="157" t="s">
        <v>321</v>
      </c>
      <c r="AK171" s="157" t="s">
        <v>109</v>
      </c>
      <c r="AL171" s="157">
        <v>0.86</v>
      </c>
      <c r="AM171" s="157">
        <v>0</v>
      </c>
      <c r="AN171" s="157">
        <v>0</v>
      </c>
      <c r="AP171" s="157">
        <v>0.86</v>
      </c>
      <c r="AR171" s="157">
        <v>0.84</v>
      </c>
      <c r="AT171" s="157">
        <v>0.79</v>
      </c>
    </row>
    <row r="172" spans="1:56" hidden="1">
      <c r="A172" s="396"/>
      <c r="B172" s="389"/>
      <c r="C172" s="481" t="s">
        <v>273</v>
      </c>
      <c r="D172" s="388"/>
      <c r="E172" s="387"/>
      <c r="F172" s="475" t="s">
        <v>154</v>
      </c>
      <c r="G172" s="482">
        <f>SUM(G167:G171)</f>
        <v>17636.280000000002</v>
      </c>
      <c r="H172" s="384"/>
      <c r="I172" s="387"/>
      <c r="J172" s="387"/>
      <c r="K172" s="387"/>
      <c r="L172" s="384"/>
      <c r="M172" s="387"/>
      <c r="N172" s="384"/>
      <c r="O172" s="387"/>
      <c r="P172" s="384"/>
      <c r="Q172" s="387"/>
      <c r="R172" s="540"/>
      <c r="S172" s="540"/>
      <c r="T172" s="540"/>
      <c r="U172" s="540"/>
      <c r="AJ172" s="141" t="s">
        <v>273</v>
      </c>
      <c r="AM172" s="141" t="s">
        <v>154</v>
      </c>
      <c r="AN172" s="141">
        <v>19004.739999999998</v>
      </c>
    </row>
    <row r="173" spans="1:56" hidden="1">
      <c r="A173" s="396"/>
      <c r="B173" s="389"/>
      <c r="C173" s="481"/>
      <c r="D173" s="388"/>
      <c r="E173" s="387"/>
      <c r="F173" s="475"/>
      <c r="G173" s="482"/>
      <c r="H173" s="384"/>
      <c r="I173" s="387"/>
      <c r="J173" s="387"/>
      <c r="K173" s="387"/>
      <c r="L173" s="384"/>
      <c r="M173" s="387"/>
      <c r="N173" s="384"/>
      <c r="O173" s="387"/>
      <c r="P173" s="384"/>
      <c r="Q173" s="387"/>
      <c r="R173" s="540"/>
      <c r="S173" s="540"/>
      <c r="T173" s="540"/>
      <c r="U173" s="540"/>
    </row>
    <row r="174" spans="1:56" hidden="1">
      <c r="A174" s="396"/>
      <c r="B174" s="389"/>
      <c r="C174" s="481"/>
      <c r="D174" s="388"/>
      <c r="E174" s="387"/>
      <c r="F174" s="475"/>
      <c r="G174" s="482"/>
      <c r="H174" s="384"/>
      <c r="I174" s="387"/>
      <c r="J174" s="387"/>
      <c r="K174" s="387"/>
      <c r="L174" s="384"/>
      <c r="M174" s="387"/>
      <c r="N174" s="384"/>
      <c r="O174" s="387"/>
      <c r="P174" s="384"/>
      <c r="Q174" s="387"/>
      <c r="R174" s="540"/>
      <c r="S174" s="540"/>
      <c r="T174" s="540"/>
      <c r="U174" s="540"/>
    </row>
    <row r="175" spans="1:56" hidden="1">
      <c r="A175" s="396"/>
      <c r="B175" s="389"/>
      <c r="C175" s="481"/>
      <c r="D175" s="388"/>
      <c r="E175" s="387"/>
      <c r="F175" s="475"/>
      <c r="G175" s="482"/>
      <c r="H175" s="384"/>
      <c r="I175" s="387"/>
      <c r="J175" s="387"/>
      <c r="K175" s="387"/>
      <c r="L175" s="384"/>
      <c r="M175" s="387"/>
      <c r="N175" s="384"/>
      <c r="O175" s="387"/>
      <c r="P175" s="384"/>
      <c r="Q175" s="387"/>
      <c r="R175" s="540"/>
      <c r="S175" s="540"/>
      <c r="T175" s="540"/>
      <c r="U175" s="540"/>
    </row>
    <row r="176" spans="1:56" hidden="1">
      <c r="A176" s="396"/>
      <c r="B176" s="389"/>
      <c r="C176" s="481"/>
      <c r="D176" s="388"/>
      <c r="E176" s="387"/>
      <c r="F176" s="475"/>
      <c r="G176" s="482"/>
      <c r="H176" s="384"/>
      <c r="I176" s="387"/>
      <c r="J176" s="387"/>
      <c r="K176" s="387"/>
      <c r="L176" s="384"/>
      <c r="M176" s="387"/>
      <c r="N176" s="384"/>
      <c r="O176" s="387"/>
      <c r="P176" s="384"/>
      <c r="Q176" s="387"/>
      <c r="R176" s="540"/>
      <c r="S176" s="540"/>
      <c r="T176" s="540"/>
      <c r="U176" s="540"/>
    </row>
    <row r="177" spans="1:21" hidden="1">
      <c r="A177" s="396"/>
      <c r="B177" s="389"/>
      <c r="C177" s="481"/>
      <c r="D177" s="388"/>
      <c r="E177" s="387"/>
      <c r="F177" s="475"/>
      <c r="G177" s="482"/>
      <c r="H177" s="384"/>
      <c r="I177" s="387"/>
      <c r="J177" s="387"/>
      <c r="K177" s="387"/>
      <c r="L177" s="384"/>
      <c r="M177" s="387"/>
      <c r="N177" s="384"/>
      <c r="O177" s="387"/>
      <c r="P177" s="384"/>
      <c r="Q177" s="387"/>
      <c r="R177" s="540"/>
      <c r="S177" s="540"/>
      <c r="T177" s="540"/>
      <c r="U177" s="540"/>
    </row>
    <row r="178" spans="1:21" hidden="1">
      <c r="A178" s="396"/>
      <c r="B178" s="389"/>
      <c r="C178" s="481"/>
      <c r="D178" s="388"/>
      <c r="E178" s="387"/>
      <c r="F178" s="475"/>
      <c r="G178" s="482"/>
      <c r="H178" s="384"/>
      <c r="I178" s="387"/>
      <c r="J178" s="387"/>
      <c r="K178" s="387"/>
      <c r="L178" s="384"/>
      <c r="M178" s="387"/>
      <c r="N178" s="384"/>
      <c r="O178" s="387"/>
      <c r="P178" s="384"/>
      <c r="Q178" s="387"/>
      <c r="R178" s="540"/>
      <c r="S178" s="540"/>
      <c r="T178" s="540"/>
      <c r="U178" s="540"/>
    </row>
    <row r="179" spans="1:21" hidden="1">
      <c r="A179" s="396"/>
      <c r="B179" s="389"/>
      <c r="C179" s="481"/>
      <c r="D179" s="388"/>
      <c r="E179" s="387"/>
      <c r="F179" s="475"/>
      <c r="G179" s="482"/>
      <c r="H179" s="384"/>
      <c r="I179" s="387"/>
      <c r="J179" s="387"/>
      <c r="K179" s="387"/>
      <c r="L179" s="384"/>
      <c r="M179" s="387"/>
      <c r="N179" s="384"/>
      <c r="O179" s="387"/>
      <c r="P179" s="384"/>
      <c r="Q179" s="387"/>
      <c r="R179" s="540"/>
      <c r="S179" s="540"/>
      <c r="T179" s="540"/>
      <c r="U179" s="540"/>
    </row>
    <row r="180" spans="1:21" hidden="1">
      <c r="A180" s="396"/>
      <c r="B180" s="389"/>
      <c r="C180" s="481"/>
      <c r="D180" s="388"/>
      <c r="E180" s="387"/>
      <c r="F180" s="475"/>
      <c r="G180" s="482"/>
      <c r="H180" s="384"/>
      <c r="I180" s="387"/>
      <c r="J180" s="387"/>
      <c r="K180" s="387"/>
      <c r="L180" s="384"/>
      <c r="M180" s="387"/>
      <c r="N180" s="384"/>
      <c r="O180" s="387"/>
      <c r="P180" s="384"/>
      <c r="Q180" s="387"/>
      <c r="R180" s="540"/>
      <c r="S180" s="540"/>
      <c r="T180" s="540"/>
      <c r="U180" s="540"/>
    </row>
    <row r="181" spans="1:21" hidden="1">
      <c r="A181" s="396"/>
      <c r="B181" s="389"/>
      <c r="C181" s="481"/>
      <c r="D181" s="388"/>
      <c r="E181" s="387"/>
      <c r="F181" s="475"/>
      <c r="G181" s="482"/>
      <c r="H181" s="384"/>
      <c r="I181" s="387"/>
      <c r="J181" s="387"/>
      <c r="K181" s="387"/>
      <c r="L181" s="384"/>
      <c r="M181" s="387"/>
      <c r="N181" s="384"/>
      <c r="O181" s="387"/>
      <c r="P181" s="384"/>
      <c r="Q181" s="387"/>
      <c r="R181" s="540"/>
      <c r="S181" s="540"/>
      <c r="T181" s="540"/>
      <c r="U181" s="540"/>
    </row>
    <row r="182" spans="1:21" hidden="1">
      <c r="A182" s="396"/>
      <c r="B182" s="338"/>
      <c r="C182" s="488"/>
      <c r="D182" s="385"/>
      <c r="E182" s="399"/>
      <c r="F182" s="399"/>
      <c r="G182" s="382"/>
      <c r="H182" s="382"/>
      <c r="I182" s="382"/>
      <c r="J182" s="389"/>
      <c r="K182" s="389"/>
      <c r="L182" s="389"/>
      <c r="M182" s="389"/>
      <c r="N182" s="389"/>
      <c r="O182" s="389"/>
      <c r="P182" s="389"/>
      <c r="Q182" s="389"/>
      <c r="R182" s="540"/>
      <c r="S182" s="540"/>
      <c r="T182" s="540"/>
      <c r="U182" s="540"/>
    </row>
    <row r="183" spans="1:21" hidden="1">
      <c r="A183" s="396"/>
      <c r="B183" s="338"/>
      <c r="C183" s="488"/>
      <c r="D183" s="385"/>
      <c r="E183" s="399"/>
      <c r="F183" s="399"/>
      <c r="G183" s="382"/>
      <c r="H183" s="382"/>
      <c r="I183" s="382"/>
      <c r="J183" s="389"/>
      <c r="K183" s="389"/>
      <c r="L183" s="389"/>
      <c r="M183" s="389"/>
      <c r="N183" s="389"/>
      <c r="O183" s="389"/>
      <c r="P183" s="389"/>
      <c r="Q183" s="389"/>
      <c r="R183" s="540"/>
      <c r="S183" s="540"/>
      <c r="T183" s="540"/>
      <c r="U183" s="540"/>
    </row>
    <row r="184" spans="1:21" ht="178.5" hidden="1">
      <c r="A184" s="396"/>
      <c r="B184" s="605">
        <v>5</v>
      </c>
      <c r="C184" s="474" t="s">
        <v>1235</v>
      </c>
      <c r="D184" s="338"/>
      <c r="E184" s="399"/>
      <c r="F184" s="472"/>
      <c r="G184" s="414"/>
      <c r="H184" s="1600" t="s">
        <v>446</v>
      </c>
      <c r="I184" s="1601"/>
      <c r="J184" s="1600" t="s">
        <v>440</v>
      </c>
      <c r="K184" s="1601"/>
      <c r="L184" s="1600" t="s">
        <v>439</v>
      </c>
      <c r="M184" s="1604"/>
      <c r="N184" s="1602" t="s">
        <v>717</v>
      </c>
      <c r="O184" s="1603"/>
      <c r="P184" s="1600" t="s">
        <v>718</v>
      </c>
      <c r="Q184" s="1601"/>
      <c r="R184" s="540"/>
      <c r="S184" s="540"/>
      <c r="T184" s="540"/>
      <c r="U184" s="540"/>
    </row>
    <row r="185" spans="1:21" hidden="1">
      <c r="A185" s="396"/>
      <c r="B185" s="605"/>
      <c r="C185" s="474" t="s">
        <v>857</v>
      </c>
      <c r="D185" s="338">
        <v>0.9</v>
      </c>
      <c r="E185" s="399" t="s">
        <v>862</v>
      </c>
      <c r="F185" s="472">
        <v>0.15</v>
      </c>
      <c r="G185" s="414"/>
      <c r="H185" s="603" t="s">
        <v>856</v>
      </c>
      <c r="I185" s="604">
        <v>0.24399999999999999</v>
      </c>
      <c r="J185" s="603" t="s">
        <v>856</v>
      </c>
      <c r="K185" s="604">
        <v>0.31</v>
      </c>
      <c r="L185" s="603" t="s">
        <v>856</v>
      </c>
      <c r="M185" s="604">
        <v>0.4</v>
      </c>
      <c r="N185" s="603" t="s">
        <v>856</v>
      </c>
      <c r="O185" s="604">
        <f>0.45+(2*0.065)</f>
        <v>0.58000000000000007</v>
      </c>
      <c r="P185" s="603" t="s">
        <v>856</v>
      </c>
      <c r="Q185" s="604">
        <f>0.75</f>
        <v>0.75</v>
      </c>
      <c r="R185" s="540"/>
      <c r="S185" s="540"/>
      <c r="T185" s="540"/>
      <c r="U185" s="540"/>
    </row>
    <row r="186" spans="1:21" hidden="1">
      <c r="A186" s="396"/>
      <c r="B186" s="605"/>
      <c r="C186" s="474" t="s">
        <v>858</v>
      </c>
      <c r="D186" s="338">
        <v>0.6</v>
      </c>
      <c r="E186" s="399" t="s">
        <v>859</v>
      </c>
      <c r="F186" s="472">
        <v>0.23</v>
      </c>
      <c r="G186" s="414"/>
      <c r="H186" s="603"/>
      <c r="I186" s="604"/>
      <c r="J186" s="603"/>
      <c r="K186" s="604"/>
      <c r="L186" s="603"/>
      <c r="M186" s="604"/>
      <c r="N186" s="603"/>
      <c r="O186" s="604"/>
      <c r="P186" s="603"/>
      <c r="Q186" s="604"/>
      <c r="R186" s="540"/>
      <c r="S186" s="540"/>
      <c r="T186" s="540"/>
      <c r="U186" s="540"/>
    </row>
    <row r="187" spans="1:21" hidden="1">
      <c r="A187" s="396"/>
      <c r="B187" s="605"/>
      <c r="C187" s="474" t="s">
        <v>860</v>
      </c>
      <c r="D187" s="338">
        <v>0.4</v>
      </c>
      <c r="E187" s="399" t="s">
        <v>861</v>
      </c>
      <c r="F187" s="472">
        <v>0.23</v>
      </c>
      <c r="G187" s="414"/>
      <c r="H187" s="603"/>
      <c r="I187" s="604"/>
      <c r="J187" s="603"/>
      <c r="K187" s="604"/>
      <c r="L187" s="603"/>
      <c r="M187" s="604"/>
      <c r="N187" s="603"/>
      <c r="O187" s="604"/>
      <c r="P187" s="603"/>
      <c r="Q187" s="604"/>
      <c r="R187" s="540"/>
      <c r="S187" s="540"/>
      <c r="T187" s="540"/>
      <c r="U187" s="540"/>
    </row>
    <row r="188" spans="1:21" hidden="1">
      <c r="A188" s="396"/>
      <c r="B188" s="605"/>
      <c r="C188" s="474" t="s">
        <v>863</v>
      </c>
      <c r="D188" s="338">
        <v>0.56000000000000005</v>
      </c>
      <c r="E188" s="399"/>
      <c r="F188" s="472"/>
      <c r="G188" s="414"/>
      <c r="H188" s="603"/>
      <c r="I188" s="604"/>
      <c r="J188" s="603"/>
      <c r="K188" s="604"/>
      <c r="L188" s="603"/>
      <c r="M188" s="604"/>
      <c r="N188" s="603"/>
      <c r="O188" s="604"/>
      <c r="P188" s="603"/>
      <c r="Q188" s="604"/>
      <c r="R188" s="540"/>
      <c r="S188" s="540"/>
      <c r="T188" s="540"/>
      <c r="U188" s="540"/>
    </row>
    <row r="189" spans="1:21" hidden="1">
      <c r="A189" s="396"/>
      <c r="B189" s="396"/>
      <c r="C189" s="474" t="str">
        <f>CONCATENATE("CC in CM( 1:4:8) PI/4x(0.9+0.46+0.3)x0.15=",E189)</f>
        <v>CC in CM( 1:4:8) PI/4x(0.9+0.46+0.3)x0.15=0.45</v>
      </c>
      <c r="D189" s="338" t="s">
        <v>109</v>
      </c>
      <c r="E189" s="489">
        <v>0.45</v>
      </c>
      <c r="F189" s="472">
        <f>F160</f>
        <v>5383.2900000000009</v>
      </c>
      <c r="G189" s="477">
        <f>+ROUND(E189*F189,2)</f>
        <v>2422.48</v>
      </c>
      <c r="H189" s="477"/>
      <c r="I189" s="477">
        <f>(PI()/4)*(($D$49+(2*$F$51))+0.3)^2*$F$49</f>
        <v>0.32463647685870128</v>
      </c>
      <c r="J189" s="477"/>
      <c r="K189" s="477">
        <f>(PI()/4)*(($D$49+(2*$F$51))+0.3)^2*$F$49</f>
        <v>0.32463647685870128</v>
      </c>
      <c r="L189" s="477"/>
      <c r="M189" s="477">
        <f>(PI()/4)*(($D$49+(2*$F$51))+0.3)^2*$F$49</f>
        <v>0.32463647685870128</v>
      </c>
      <c r="N189" s="477"/>
      <c r="O189" s="477">
        <f>(PI()/4)*(($D$49+(2*$F$51))+0.3)^2*$F$49</f>
        <v>0.32463647685870128</v>
      </c>
      <c r="P189" s="477"/>
      <c r="Q189" s="477">
        <f>(PI()/4)*(($D$49+(2*$F$51))+0.3)^2*$F$49</f>
        <v>0.32463647685870128</v>
      </c>
      <c r="R189" s="540"/>
      <c r="S189" s="540"/>
      <c r="T189" s="540"/>
      <c r="U189" s="540"/>
    </row>
    <row r="190" spans="1:21" ht="38.25" hidden="1">
      <c r="A190" s="396"/>
      <c r="B190" s="396"/>
      <c r="C190" s="474" t="str">
        <f>CONCATENATE("2nd Class Brick Masonory in cm (1: 6) Prop using 2nd class bricks for Uniform Section( PIx1.13x0.23x0.4)-(PI/4*0.23*0.23*.23*2)=",E190)</f>
        <v>2nd Class Brick Masonory in cm (1: 6) Prop using 2nd class bricks for Uniform Section( PIx1.13x0.23x0.4)-(PI/4*0.23*0.23*.23*2)=0.44</v>
      </c>
      <c r="D190" s="805" t="s">
        <v>109</v>
      </c>
      <c r="E190" s="489">
        <v>0.44</v>
      </c>
      <c r="F190" s="472">
        <f>F162</f>
        <v>8504.4699999999993</v>
      </c>
      <c r="G190" s="477">
        <f t="shared" ref="G190:G195" si="26">+ROUND(E190*F190,2)</f>
        <v>3741.97</v>
      </c>
      <c r="H190" s="479">
        <f>ROUND(PI()/4*I185*I185*$F$51*2,3)</f>
        <v>2.1999999999999999E-2</v>
      </c>
      <c r="I190" s="479">
        <f>(PI()*($D$49+$F$51)*$F$51*$D$51)-H190</f>
        <v>0.30459997226719493</v>
      </c>
      <c r="J190" s="479">
        <f>ROUND(PI()/4*K185*K185*$F$51*2,3)</f>
        <v>3.5000000000000003E-2</v>
      </c>
      <c r="K190" s="479">
        <f>(PI()*($D$49+$F$51)*$F$51*$D$51)-J190</f>
        <v>0.29159997226719492</v>
      </c>
      <c r="L190" s="479">
        <f>ROUND(PI()/4*M185*M185*$F$51*2,3)</f>
        <v>5.8000000000000003E-2</v>
      </c>
      <c r="M190" s="479">
        <f>(PI()*($D$49+$F$51)*$F$51*$D$51)-L190</f>
        <v>0.26859997226719495</v>
      </c>
      <c r="N190" s="479">
        <f>ROUND(PI()/4*O185*O185*$F$51*2,3)</f>
        <v>0.122</v>
      </c>
      <c r="O190" s="479">
        <f>(PI()*($D$49+$F$51)*$F$51*$D$51)-N190</f>
        <v>0.20459997226719495</v>
      </c>
      <c r="P190" s="479">
        <f>ROUND(PI()/4*Q185*Q185*$F$51*2,3)</f>
        <v>0.20300000000000001</v>
      </c>
      <c r="Q190" s="479">
        <f>(PI()*($D$49+$F$51)*$F$51*$D$51)-P190</f>
        <v>0.12359997226719494</v>
      </c>
      <c r="R190" s="540"/>
      <c r="S190" s="540"/>
      <c r="T190" s="540"/>
      <c r="U190" s="540"/>
    </row>
    <row r="191" spans="1:21" ht="38.25" hidden="1">
      <c r="A191" s="396"/>
      <c r="B191" s="396"/>
      <c r="C191" s="474" t="str">
        <f>CONCATENATE("2nd Class Brick Masonory work  in cm (1: 6) )Prop using 2nd class bricks for Carbelling Portion Pix(1.13+0.78)/2x0.23x(0.6-.25)=",E191)</f>
        <v>2nd Class Brick Masonory work  in cm (1: 6) )Prop using 2nd class bricks for Carbelling Portion Pix(1.13+0.78)/2x0.23x(0.6-.25)=0.802</v>
      </c>
      <c r="D191" s="805" t="s">
        <v>109</v>
      </c>
      <c r="E191" s="489">
        <v>0.80200000000000005</v>
      </c>
      <c r="F191" s="472">
        <f>F190</f>
        <v>8504.4699999999993</v>
      </c>
      <c r="G191" s="477">
        <f t="shared" si="26"/>
        <v>6820.58</v>
      </c>
      <c r="H191" s="389"/>
      <c r="I191" s="389">
        <f>(PI()*(($D$49+$F$50+$D$52+$F$50)/2)*$F$50)*($D$50-0.25)</f>
        <v>0.24278228026941923</v>
      </c>
      <c r="J191" s="389"/>
      <c r="K191" s="389">
        <f>(PI()*(($D$49+$F$50+$D$52+$F$50)/2)*$F$50)*($D$50-0.25)</f>
        <v>0.24278228026941923</v>
      </c>
      <c r="L191" s="493"/>
      <c r="M191" s="389">
        <f>(PI()*(($D$49+$F$50+$D$52+$F$50)/2)*$F$50)*($D$50-0.25)</f>
        <v>0.24278228026941923</v>
      </c>
      <c r="N191" s="389"/>
      <c r="O191" s="389">
        <f>(PI()*(($D$49+$F$50+$D$52+$F$50)/2)*$F$50)*($D$50-0.175)</f>
        <v>0.29480705461286622</v>
      </c>
      <c r="P191" s="389"/>
      <c r="Q191" s="389">
        <f>(PI()*(($D$49+$F$50+$D$52+$F$50)/2)*$F$50)*($D$50-0.25)</f>
        <v>0.24278228026941923</v>
      </c>
      <c r="R191" s="540"/>
      <c r="S191" s="540"/>
      <c r="T191" s="540"/>
      <c r="U191" s="540"/>
    </row>
    <row r="192" spans="1:21" ht="51" hidden="1">
      <c r="A192" s="396"/>
      <c r="B192" s="396"/>
      <c r="C192" s="970" t="str">
        <f>CONCATENATE("External Plastering in CM(1:4) of 12 mm thick vertical portion Pix(.9+.23*2)x0.40 and sloped portion Pix(1.36+1.01)/2x(0.6-.25)  Dedcut Pipe Portion 2xPI()/4x0.23x0.23=",E192)</f>
        <v>External Plastering in CM(1:4) of 12 mm thick vertical portion Pix(.9+.23*2)x0.40 and sloped portion Pix(1.36+1.01)/2x(0.6-.25)  Dedcut Pipe Portion 2xPI()/4x0.23x0.23=6.77</v>
      </c>
      <c r="D192" s="805" t="s">
        <v>224</v>
      </c>
      <c r="E192" s="489">
        <v>6.77</v>
      </c>
      <c r="F192" s="472">
        <f>F304</f>
        <v>170.45499999999998</v>
      </c>
      <c r="G192" s="477">
        <f t="shared" si="26"/>
        <v>1153.98</v>
      </c>
      <c r="H192" s="389">
        <f>ROUND(PI()/4*I185*I185*2,3)</f>
        <v>9.4E-2</v>
      </c>
      <c r="I192" s="389">
        <f>((PI()*($D$49+2*($F$51))))*($D$51)+(PI()*(($D$49+2*($F$51)+$D$52+2*($F$50))/2)*($D$50))-H192</f>
        <v>3.8581235582159605</v>
      </c>
      <c r="J192" s="389">
        <f>ROUND(PI()/4*K185*K185*2,3)</f>
        <v>0.151</v>
      </c>
      <c r="K192" s="389">
        <f>((PI()*($D$49+2*($F$51))))*($D$51)+(PI()*(($D$49+2*($F$51)+$D$52+2*($F$50))/2)*($D$50))-J192</f>
        <v>3.8011235582159606</v>
      </c>
      <c r="L192" s="389">
        <f>ROUND(PI()/4*M185*M185*2,3)</f>
        <v>0.251</v>
      </c>
      <c r="M192" s="389">
        <f>((PI()*($D$49+2*($F$51))))*($D$51)+(PI()*(($D$49+2*($F$51)+$D$52+2*($F$50))/2)*($D$50))-L192</f>
        <v>3.7011235582159605</v>
      </c>
      <c r="N192" s="389">
        <f>ROUND(PI()/4*O185*O185*2,3)</f>
        <v>0.52800000000000002</v>
      </c>
      <c r="O192" s="389">
        <f>((PI()*($D$49+2*($F$51))))*($D$51)+(PI()*(($D$49+2*($F$50)+$D$52+2*($F$50))/2)*($D$50-0.175))-N192</f>
        <v>2.7698868881058858</v>
      </c>
      <c r="P192" s="389">
        <f>ROUND(PI()/4*Q185*Q185*2,3)</f>
        <v>0.88400000000000001</v>
      </c>
      <c r="Q192" s="389">
        <f>((PI()*($D$49+2*($F$51))))*($D$51)+(PI()*(($D$49+2*($F$51)+$D$52+2*($F$50))/2)*($D$50))-P192</f>
        <v>3.0681235582159605</v>
      </c>
      <c r="R192" s="540"/>
      <c r="S192" s="540"/>
      <c r="T192" s="540"/>
      <c r="U192" s="540"/>
    </row>
    <row r="193" spans="1:21" ht="51" hidden="1">
      <c r="A193" s="396"/>
      <c r="B193" s="396"/>
      <c r="C193" s="474" t="str">
        <f>CONCATENATE("Internal Plastering in CM(1:4) of 20 mm thick uniform portion PIx0.90x0.4 and Sloped Portion Pix(0.90+0.56)/2x(.6-.25)  Dedcut Pipe Portion 2xPI()/4x0.25x0.25=",E193)</f>
        <v>Internal Plastering in CM(1:4) of 20 mm thick uniform portion PIx0.90x0.4 and Sloped Portion Pix(0.90+0.56)/2x(.6-.25)  Dedcut Pipe Portion 2xPI()/4x0.25x0.25=5.58</v>
      </c>
      <c r="D193" s="805" t="s">
        <v>224</v>
      </c>
      <c r="E193" s="399">
        <v>5.58</v>
      </c>
      <c r="F193" s="472">
        <f>F305</f>
        <v>259.48599999999999</v>
      </c>
      <c r="G193" s="477">
        <f t="shared" si="26"/>
        <v>1447.93</v>
      </c>
      <c r="H193" s="389">
        <f>ROUND(PI()*$D$49*I185,3)</f>
        <v>0.69</v>
      </c>
      <c r="I193" s="490">
        <f>(PI()*$D$49*$D$51+(PI()*($D$49+$D$52)/2*($D$50-0.175)))-H193</f>
        <v>1.4156524760685589</v>
      </c>
      <c r="J193" s="389">
        <f>ROUND(PI()*$D$49*K185,3)</f>
        <v>0.877</v>
      </c>
      <c r="K193" s="490">
        <f>(PI()*$D$49*$D$51+(PI()*($D$49+$D$52)/2*($D$50-0.175)))-J193</f>
        <v>1.2286524760685589</v>
      </c>
      <c r="L193" s="389">
        <f>ROUND(PI()*$D$49*M185,3)</f>
        <v>1.131</v>
      </c>
      <c r="M193" s="490">
        <f>(PI()*$D$49*$D$51+(PI()*($D$49+$D$52)/2*($D$50-0.175)))-L193</f>
        <v>0.97465247606855887</v>
      </c>
      <c r="N193" s="389">
        <f>ROUND(PI()*$D$49*O185,3)</f>
        <v>1.64</v>
      </c>
      <c r="O193" s="490">
        <f>(PI()*$D$49*$D$51+(PI()*($D$49+$D$52)/2*($D$50-0.175)))-N193</f>
        <v>0.46565247606855897</v>
      </c>
      <c r="P193" s="389">
        <f>ROUND(PI()*$D$49*Q185,3)</f>
        <v>2.121</v>
      </c>
      <c r="Q193" s="490">
        <f>IF((PI()*$D$49*$D$51+(PI()*($D$49+$D$52)/2*($D$50-0.175)))-P193&gt;0,(PI()*$D$49*$D$51+(PI()*($D$49+$D$52)/2*($D$50-0.175)))-P193,0)</f>
        <v>0</v>
      </c>
      <c r="R193" s="540"/>
      <c r="S193" s="540"/>
      <c r="T193" s="540">
        <f>E193*F193</f>
        <v>1447.9318799999999</v>
      </c>
      <c r="U193" s="540"/>
    </row>
    <row r="194" spans="1:21" ht="51" hidden="1">
      <c r="A194" s="396"/>
      <c r="B194" s="396"/>
      <c r="C194" s="473" t="str">
        <f>CONCATENATE("CC Channeling with (1:2.5:5) Prop  PIx0.9x0.9x0.30/4 = over Manhole alround for Cover PIx0.81x0.15x0.10= deduct Channel 0.90x0.25x0.25=",E194)</f>
        <v>CC Channeling with (1:2.5:5) Prop  PIx0.9x0.9x0.30/4 = over Manhole alround for Cover PIx0.81x0.15x0.10= deduct Channel 0.90x0.25x0.25=0.28</v>
      </c>
      <c r="D194" s="805" t="s">
        <v>109</v>
      </c>
      <c r="E194" s="489">
        <v>0.28000000000000003</v>
      </c>
      <c r="F194" s="472">
        <f>F165</f>
        <v>6018.18</v>
      </c>
      <c r="G194" s="477">
        <f t="shared" si="26"/>
        <v>1685.09</v>
      </c>
      <c r="H194" s="389">
        <f>ROUND($D$49*(PI()/4)*I185*I185,3)</f>
        <v>4.2000000000000003E-2</v>
      </c>
      <c r="I194" s="389">
        <f>(((PI()*$D$49^2/4)*I185)+(PI()*($D$49+$F$50)*$F$50*0.075)+(PI()*(0.71+0.08)*0.08*0.175))-H194</f>
        <v>0.20920960256267382</v>
      </c>
      <c r="J194" s="389">
        <f>ROUND($D$49*(PI()/4)*K185*K185,3)</f>
        <v>6.8000000000000005E-2</v>
      </c>
      <c r="K194" s="389">
        <f>(((PI()*$D$49^2/4)*K185)+(PI()*($D$49+$F$50)*$F$50*0.075)+(PI()*(0.71+0.08)*0.08*0.175))-J194</f>
        <v>0.22519698837790142</v>
      </c>
      <c r="L194" s="389">
        <f>ROUND($D$49*(PI()/4)*M185*M185,3)</f>
        <v>0.113</v>
      </c>
      <c r="M194" s="389">
        <f>(((PI()*$D$49^2/4)*M185)+(PI()*($D$49+$F$50)*$F$50*0.075)+(PI()*(0.71+0.08)*0.08*0.175))-L194</f>
        <v>0.23745251448957544</v>
      </c>
      <c r="N194" s="389">
        <f>ROUND($D$49*(PI()/4)*O185*O185,3)</f>
        <v>0.23799999999999999</v>
      </c>
      <c r="O194" s="389">
        <f>(((PI()*$D$49^2/4)*O185)+(PI()*($D$52+$F$50)*$F$50*0.075)+(PI()*(0.71+2*0.075+0.08)*0.08*0.1))-N194</f>
        <v>0.19741688780591149</v>
      </c>
      <c r="P194" s="389">
        <f>ROUND($D$49*(PI()/4)*Q185*Q185,3)</f>
        <v>0.39800000000000002</v>
      </c>
      <c r="Q194" s="389">
        <f>(((PI()*$D$49^2/4)*Q185)+(PI()*($D$49+$F$50)*$F$50*0.075)+(PI()*(0.71+0.08)*0.08*0.175))-P194</f>
        <v>0.17511289381275208</v>
      </c>
      <c r="R194" s="540"/>
      <c r="S194" s="540"/>
      <c r="T194" s="540"/>
      <c r="U194" s="540"/>
    </row>
    <row r="195" spans="1:21" hidden="1">
      <c r="A195" s="396"/>
      <c r="B195" s="396"/>
      <c r="C195" s="473" t="s">
        <v>225</v>
      </c>
      <c r="D195" s="338" t="s">
        <v>226</v>
      </c>
      <c r="E195" s="399">
        <v>3</v>
      </c>
      <c r="F195" s="472">
        <f>F166</f>
        <v>81</v>
      </c>
      <c r="G195" s="477">
        <f t="shared" si="26"/>
        <v>243</v>
      </c>
      <c r="H195" s="477"/>
      <c r="I195" s="389"/>
      <c r="J195" s="389"/>
      <c r="K195" s="389"/>
      <c r="L195" s="389"/>
      <c r="M195" s="389"/>
      <c r="N195" s="389"/>
      <c r="O195" s="389"/>
      <c r="P195" s="389"/>
      <c r="Q195" s="389"/>
      <c r="R195" s="540"/>
      <c r="S195" s="540"/>
      <c r="T195" s="540"/>
      <c r="U195" s="540"/>
    </row>
    <row r="196" spans="1:21" hidden="1">
      <c r="A196" s="396"/>
      <c r="B196" s="397"/>
      <c r="C196" s="480" t="s">
        <v>106</v>
      </c>
      <c r="D196" s="338" t="s">
        <v>226</v>
      </c>
      <c r="E196" s="399"/>
      <c r="F196" s="472" t="s">
        <v>154</v>
      </c>
      <c r="G196" s="414">
        <f>SUM(G189:G195)</f>
        <v>17515.03</v>
      </c>
      <c r="H196" s="414"/>
      <c r="I196" s="389"/>
      <c r="J196" s="389"/>
      <c r="K196" s="389"/>
      <c r="L196" s="389"/>
      <c r="M196" s="389">
        <f>((PI()*$D$49*M185))</f>
        <v>1.1309733552923256</v>
      </c>
      <c r="N196" s="389"/>
      <c r="O196" s="389"/>
      <c r="P196" s="389"/>
      <c r="Q196" s="389"/>
      <c r="R196" s="540"/>
      <c r="S196" s="540"/>
      <c r="T196" s="540"/>
      <c r="U196" s="540"/>
    </row>
    <row r="197" spans="1:21" hidden="1">
      <c r="A197" s="396"/>
      <c r="B197" s="397"/>
      <c r="C197" s="480"/>
      <c r="D197" s="397"/>
      <c r="E197" s="399"/>
      <c r="F197" s="472"/>
      <c r="G197" s="414"/>
      <c r="H197" s="475"/>
      <c r="I197" s="389"/>
      <c r="J197" s="389"/>
      <c r="K197" s="389"/>
      <c r="L197" s="389"/>
      <c r="M197" s="389"/>
      <c r="N197" s="389"/>
      <c r="O197" s="389"/>
      <c r="P197" s="389"/>
      <c r="Q197" s="389"/>
      <c r="R197" s="540"/>
      <c r="S197" s="540"/>
      <c r="T197" s="540"/>
      <c r="U197" s="540"/>
    </row>
    <row r="198" spans="1:21" hidden="1">
      <c r="A198" s="396"/>
      <c r="B198" s="386"/>
      <c r="C198" s="481" t="s">
        <v>319</v>
      </c>
      <c r="D198" s="388"/>
      <c r="E198" s="387"/>
      <c r="F198" s="475"/>
      <c r="G198" s="482"/>
      <c r="H198" s="475"/>
      <c r="I198" s="384"/>
      <c r="J198" s="384"/>
      <c r="K198" s="384"/>
      <c r="L198" s="384"/>
      <c r="M198" s="384"/>
      <c r="N198" s="384"/>
      <c r="O198" s="384"/>
      <c r="P198" s="384"/>
      <c r="Q198" s="384"/>
      <c r="R198" s="540"/>
      <c r="S198" s="540"/>
      <c r="T198" s="540"/>
      <c r="U198" s="540"/>
    </row>
    <row r="199" spans="1:21" hidden="1">
      <c r="A199" s="396"/>
      <c r="B199" s="386"/>
      <c r="C199" s="481" t="s">
        <v>320</v>
      </c>
      <c r="D199" s="388" t="s">
        <v>109</v>
      </c>
      <c r="E199" s="483">
        <f>ROUND(E189*0.9+E194*0.9,2)</f>
        <v>0.66</v>
      </c>
      <c r="F199" s="475">
        <v>75</v>
      </c>
      <c r="G199" s="475">
        <v>0</v>
      </c>
      <c r="H199" s="384"/>
      <c r="I199" s="483"/>
      <c r="J199" s="483"/>
      <c r="K199" s="483"/>
      <c r="L199" s="384"/>
      <c r="M199" s="483"/>
      <c r="N199" s="384"/>
      <c r="O199" s="483"/>
      <c r="P199" s="384"/>
      <c r="Q199" s="483"/>
      <c r="R199" s="540"/>
      <c r="S199" s="540"/>
      <c r="T199" s="540"/>
      <c r="U199" s="540"/>
    </row>
    <row r="200" spans="1:21" hidden="1">
      <c r="A200" s="396"/>
      <c r="B200" s="386"/>
      <c r="C200" s="481" t="s">
        <v>321</v>
      </c>
      <c r="D200" s="388" t="s">
        <v>109</v>
      </c>
      <c r="E200" s="483">
        <f>ROUND((E190+E191)*0.2+(E192*0.015+E193*0.021)+(E189+E194)*0.45,2)</f>
        <v>0.8</v>
      </c>
      <c r="F200" s="475">
        <v>90</v>
      </c>
      <c r="G200" s="475">
        <v>0</v>
      </c>
      <c r="H200" s="384"/>
      <c r="I200" s="483"/>
      <c r="J200" s="483"/>
      <c r="K200" s="483"/>
      <c r="L200" s="384"/>
      <c r="M200" s="483"/>
      <c r="N200" s="384"/>
      <c r="O200" s="483"/>
      <c r="P200" s="384"/>
      <c r="Q200" s="483"/>
      <c r="R200" s="540"/>
      <c r="S200" s="540"/>
      <c r="T200" s="540"/>
      <c r="U200" s="540"/>
    </row>
    <row r="201" spans="1:21" hidden="1">
      <c r="A201" s="396"/>
      <c r="B201" s="386"/>
      <c r="C201" s="481" t="s">
        <v>273</v>
      </c>
      <c r="D201" s="388"/>
      <c r="E201" s="387"/>
      <c r="F201" s="475" t="s">
        <v>154</v>
      </c>
      <c r="G201" s="482">
        <f>SUM(G196:G200)</f>
        <v>17515.03</v>
      </c>
      <c r="H201" s="384"/>
      <c r="I201" s="387"/>
      <c r="J201" s="387"/>
      <c r="K201" s="387"/>
      <c r="L201" s="384"/>
      <c r="M201" s="387"/>
      <c r="N201" s="384"/>
      <c r="O201" s="387"/>
      <c r="P201" s="384"/>
      <c r="Q201" s="387"/>
      <c r="R201" s="540"/>
      <c r="S201" s="540"/>
      <c r="T201" s="540"/>
      <c r="U201" s="540"/>
    </row>
    <row r="202" spans="1:21" hidden="1">
      <c r="A202" s="396"/>
      <c r="B202" s="338"/>
      <c r="C202" s="488"/>
      <c r="D202" s="385"/>
      <c r="E202" s="399"/>
      <c r="F202" s="399"/>
      <c r="G202" s="382"/>
      <c r="H202" s="382"/>
      <c r="I202" s="382"/>
      <c r="J202" s="389"/>
      <c r="K202" s="389"/>
      <c r="L202" s="389"/>
      <c r="M202" s="389"/>
      <c r="N202" s="389"/>
      <c r="O202" s="389"/>
      <c r="P202" s="389"/>
      <c r="Q202" s="389"/>
      <c r="R202" s="540"/>
      <c r="S202" s="540"/>
      <c r="T202" s="540"/>
      <c r="U202" s="540"/>
    </row>
    <row r="203" spans="1:21" ht="178.5" hidden="1">
      <c r="A203" s="396"/>
      <c r="B203" s="605">
        <v>6</v>
      </c>
      <c r="C203" s="474" t="s">
        <v>1235</v>
      </c>
      <c r="D203" s="338"/>
      <c r="E203" s="399"/>
      <c r="F203" s="472"/>
      <c r="G203" s="414"/>
      <c r="H203" s="1600" t="s">
        <v>446</v>
      </c>
      <c r="I203" s="1601"/>
      <c r="J203" s="1600" t="s">
        <v>440</v>
      </c>
      <c r="K203" s="1601"/>
      <c r="L203" s="1600" t="s">
        <v>439</v>
      </c>
      <c r="M203" s="1604"/>
      <c r="N203" s="1600" t="s">
        <v>717</v>
      </c>
      <c r="O203" s="1601"/>
      <c r="P203" s="1602" t="s">
        <v>718</v>
      </c>
      <c r="Q203" s="1603"/>
      <c r="R203" s="540"/>
      <c r="S203" s="540"/>
      <c r="T203" s="540"/>
      <c r="U203" s="540"/>
    </row>
    <row r="204" spans="1:21" hidden="1">
      <c r="A204" s="396"/>
      <c r="B204" s="605"/>
      <c r="C204" s="474" t="s">
        <v>857</v>
      </c>
      <c r="D204" s="338">
        <v>0.9</v>
      </c>
      <c r="E204" s="399" t="s">
        <v>862</v>
      </c>
      <c r="F204" s="472">
        <v>0.15</v>
      </c>
      <c r="G204" s="414"/>
      <c r="H204" s="603" t="s">
        <v>856</v>
      </c>
      <c r="I204" s="604">
        <v>0.24399999999999999</v>
      </c>
      <c r="J204" s="603" t="s">
        <v>856</v>
      </c>
      <c r="K204" s="604">
        <v>0.31</v>
      </c>
      <c r="L204" s="603" t="s">
        <v>856</v>
      </c>
      <c r="M204" s="604">
        <v>0.4</v>
      </c>
      <c r="N204" s="603" t="s">
        <v>856</v>
      </c>
      <c r="O204" s="604">
        <v>0.57999999999999996</v>
      </c>
      <c r="P204" s="603" t="s">
        <v>856</v>
      </c>
      <c r="Q204" s="604">
        <v>0.75</v>
      </c>
      <c r="R204" s="540"/>
      <c r="S204" s="540"/>
      <c r="T204" s="540"/>
      <c r="U204" s="540"/>
    </row>
    <row r="205" spans="1:21" hidden="1">
      <c r="A205" s="396"/>
      <c r="B205" s="605"/>
      <c r="C205" s="474" t="s">
        <v>858</v>
      </c>
      <c r="D205" s="338">
        <v>0.6</v>
      </c>
      <c r="E205" s="399" t="s">
        <v>859</v>
      </c>
      <c r="F205" s="472">
        <v>0.23</v>
      </c>
      <c r="G205" s="414"/>
      <c r="H205" s="603"/>
      <c r="I205" s="604"/>
      <c r="J205" s="603"/>
      <c r="K205" s="604"/>
      <c r="L205" s="603"/>
      <c r="M205" s="604"/>
      <c r="N205" s="603"/>
      <c r="O205" s="604"/>
      <c r="P205" s="603"/>
      <c r="Q205" s="604"/>
      <c r="R205" s="540"/>
      <c r="S205" s="540"/>
      <c r="T205" s="540"/>
      <c r="U205" s="540"/>
    </row>
    <row r="206" spans="1:21" hidden="1">
      <c r="A206" s="396"/>
      <c r="B206" s="605"/>
      <c r="C206" s="474" t="s">
        <v>860</v>
      </c>
      <c r="D206" s="338">
        <v>0.4</v>
      </c>
      <c r="E206" s="399" t="s">
        <v>861</v>
      </c>
      <c r="F206" s="472">
        <v>0.23</v>
      </c>
      <c r="G206" s="414"/>
      <c r="H206" s="603"/>
      <c r="I206" s="604"/>
      <c r="J206" s="603"/>
      <c r="K206" s="604"/>
      <c r="L206" s="603"/>
      <c r="M206" s="604"/>
      <c r="N206" s="603"/>
      <c r="O206" s="604"/>
      <c r="P206" s="603"/>
      <c r="Q206" s="604"/>
      <c r="R206" s="540"/>
      <c r="S206" s="540"/>
      <c r="T206" s="540"/>
      <c r="U206" s="540"/>
    </row>
    <row r="207" spans="1:21" hidden="1">
      <c r="A207" s="396"/>
      <c r="B207" s="605"/>
      <c r="C207" s="474" t="s">
        <v>863</v>
      </c>
      <c r="D207" s="338">
        <v>0.56000000000000005</v>
      </c>
      <c r="E207" s="399"/>
      <c r="F207" s="472"/>
      <c r="G207" s="414"/>
      <c r="H207" s="603"/>
      <c r="I207" s="604"/>
      <c r="J207" s="603"/>
      <c r="K207" s="604"/>
      <c r="L207" s="603"/>
      <c r="M207" s="604"/>
      <c r="N207" s="603"/>
      <c r="O207" s="604"/>
      <c r="P207" s="603"/>
      <c r="Q207" s="604"/>
      <c r="R207" s="540"/>
      <c r="S207" s="540"/>
      <c r="T207" s="540"/>
      <c r="U207" s="540"/>
    </row>
    <row r="208" spans="1:21" hidden="1">
      <c r="A208" s="396"/>
      <c r="B208" s="605"/>
      <c r="C208" s="474" t="str">
        <f>CONCATENATE("CC in CM( 1:4:8) PI/4x(0.9+0.46+0.3)x0.15=",E208)</f>
        <v>CC in CM( 1:4:8) PI/4x(0.9+0.46+0.3)x0.15=0.453</v>
      </c>
      <c r="D208" s="338" t="s">
        <v>109</v>
      </c>
      <c r="E208" s="489">
        <v>0.45300000000000001</v>
      </c>
      <c r="F208" s="472">
        <f>F189</f>
        <v>5383.2900000000009</v>
      </c>
      <c r="G208" s="477">
        <f t="shared" ref="G208:G214" si="27">+ROUND(E208*F208,2)</f>
        <v>2438.63</v>
      </c>
      <c r="H208" s="477"/>
      <c r="I208" s="477">
        <f>(PI()/4)*(($D$49+(2*$F$51))+0.3)^2*$F$49</f>
        <v>0.32463647685870128</v>
      </c>
      <c r="J208" s="477"/>
      <c r="K208" s="477">
        <f>(PI()/4)*(($D$49+(2*$F$51))+0.3)^2*$F$49</f>
        <v>0.32463647685870128</v>
      </c>
      <c r="L208" s="477"/>
      <c r="M208" s="477">
        <f>(PI()/4)*(($D$49+(2*$F$51))+0.3)^2*$F$49</f>
        <v>0.32463647685870128</v>
      </c>
      <c r="N208" s="477"/>
      <c r="O208" s="477">
        <f>(PI()/4)*(($D$49+(2*$F$51))+0.3)^2*$F$49</f>
        <v>0.32463647685870128</v>
      </c>
      <c r="P208" s="477"/>
      <c r="Q208" s="477">
        <f>(PI()/4)*(($D$49+(2*$F$51))+0.3)^2*$F$49</f>
        <v>0.32463647685870128</v>
      </c>
      <c r="R208" s="540"/>
      <c r="S208" s="540"/>
      <c r="T208" s="540"/>
      <c r="U208" s="540"/>
    </row>
    <row r="209" spans="1:34" ht="12.75" hidden="1" customHeight="1">
      <c r="A209" s="396"/>
      <c r="B209" s="396"/>
      <c r="C209" s="474" t="str">
        <f>CONCATENATE("2nd Class Brick Masonory in cm (1: 6) Prop using 2nd class bricks for Uniform Section( PIx1.13x0.23x0.4)-(PI/4*0.23*0.23*.23*2)=",E209)</f>
        <v>2nd Class Brick Masonory in cm (1: 6) Prop using 2nd class bricks for Uniform Section( PIx1.13x0.23x0.4)-(PI/4*0.23*0.23*.23*2)=0.582</v>
      </c>
      <c r="D209" s="338" t="s">
        <v>109</v>
      </c>
      <c r="E209" s="489">
        <v>0.58199999999999996</v>
      </c>
      <c r="F209" s="472">
        <f>F190</f>
        <v>8504.4699999999993</v>
      </c>
      <c r="G209" s="477">
        <f t="shared" si="27"/>
        <v>4949.6000000000004</v>
      </c>
      <c r="H209" s="479">
        <f>ROUND(PI()/4*I204*I204*$F$51*2,3)</f>
        <v>2.1999999999999999E-2</v>
      </c>
      <c r="I209" s="479">
        <f>(PI()*($D$49+$F$51)*$F$51*$D$51)-H209</f>
        <v>0.30459997226719493</v>
      </c>
      <c r="J209" s="479">
        <f>ROUND(PI()/4*K204*K204*$F$51*2,3)</f>
        <v>3.5000000000000003E-2</v>
      </c>
      <c r="K209" s="479">
        <f>(PI()*($D$49+$F$51)*$F$51*$D$51)-J209</f>
        <v>0.29159997226719492</v>
      </c>
      <c r="L209" s="479">
        <f>ROUND(PI()/4*M204*M204*$F$51*2,3)</f>
        <v>5.8000000000000003E-2</v>
      </c>
      <c r="M209" s="479">
        <f>(PI()*($D$49+$F$51)*$F$51*$D$51)-L209</f>
        <v>0.26859997226719495</v>
      </c>
      <c r="N209" s="479">
        <f>ROUND(PI()/4*O204*O204*$F$51*2,3)</f>
        <v>0.122</v>
      </c>
      <c r="O209" s="479">
        <f>(PI()*($D$49+$F$51)*$F$51*$D$51)-N209</f>
        <v>0.20459997226719495</v>
      </c>
      <c r="P209" s="479">
        <f>ROUND(PI()/4*Q204*Q204*$F$51*2,3)</f>
        <v>0.20300000000000001</v>
      </c>
      <c r="Q209" s="479">
        <f>(PI()*($D$49+$F$51)*$F$51*$D$51)-P209</f>
        <v>0.12359997226719494</v>
      </c>
      <c r="R209" s="540"/>
      <c r="S209" s="540"/>
      <c r="T209" s="540"/>
      <c r="U209" s="540"/>
    </row>
    <row r="210" spans="1:34" ht="38.25" hidden="1">
      <c r="A210" s="396"/>
      <c r="B210" s="396"/>
      <c r="C210" s="474" t="str">
        <f>CONCATENATE("2nd Class Brick Masonory work  in cm (1: 6) )Prop using 2nd class bricks for Carbelling Portion Pix(1.13+0.78)/2x0.23x(0.6-.25)=",E210)</f>
        <v>2nd Class Brick Masonory work  in cm (1: 6) )Prop using 2nd class bricks for Carbelling Portion Pix(1.13+0.78)/2x0.23x(0.6-.25)=0.802</v>
      </c>
      <c r="D210" s="338" t="s">
        <v>109</v>
      </c>
      <c r="E210" s="489">
        <v>0.80200000000000005</v>
      </c>
      <c r="F210" s="472">
        <f>F209</f>
        <v>8504.4699999999993</v>
      </c>
      <c r="G210" s="477">
        <f t="shared" si="27"/>
        <v>6820.58</v>
      </c>
      <c r="H210" s="389"/>
      <c r="I210" s="389">
        <f>(PI()*(($D$49+$F$50+$D$52+$F$50)/2)*$F$50)*($D$50-0.25)</f>
        <v>0.24278228026941923</v>
      </c>
      <c r="J210" s="389"/>
      <c r="K210" s="389">
        <f>(PI()*(($D$49+$F$50+$D$52+$F$50)/2)*$F$50)*($D$50-0.25)</f>
        <v>0.24278228026941923</v>
      </c>
      <c r="L210" s="493"/>
      <c r="M210" s="389">
        <f>(PI()*(($D$49+$F$50+$D$52+$F$50)/2)*$F$50)*($D$50-0.25)</f>
        <v>0.24278228026941923</v>
      </c>
      <c r="N210" s="389"/>
      <c r="O210" s="389">
        <f>(PI()*(($D$49+$F$50+$D$52+$F$50)/2)*$F$50)*($D$50-0.25)</f>
        <v>0.24278228026941923</v>
      </c>
      <c r="P210" s="389"/>
      <c r="Q210" s="389">
        <f>(PI()*(($D$49+$F$50+$D$52+$F$50)/2)*$F$50)*($D$50-0.175)</f>
        <v>0.29480705461286622</v>
      </c>
      <c r="R210" s="540"/>
      <c r="S210" s="540"/>
      <c r="T210" s="540"/>
      <c r="U210" s="540"/>
    </row>
    <row r="211" spans="1:34" ht="51" hidden="1">
      <c r="A211" s="396"/>
      <c r="B211" s="396"/>
      <c r="C211" s="970" t="str">
        <f>CONCATENATE("External Plastering in CM(1:4) of 12 mm thick vertical portion Pix(.9+.23*2)x0.40 and sloped portion Pix(1.36+1.01)/2x(0.6-.25)  Dedcut Pipe Portion 2xPI()/4x0.23x0.23=",E211)</f>
        <v>External Plastering in CM(1:4) of 12 mm thick vertical portion Pix(.9+.23*2)x0.40 and sloped portion Pix(1.36+1.01)/2x(0.6-.25)  Dedcut Pipe Portion 2xPI()/4x0.23x0.23=7.29</v>
      </c>
      <c r="D211" s="338" t="s">
        <v>224</v>
      </c>
      <c r="E211" s="489">
        <v>7.29</v>
      </c>
      <c r="F211" s="472">
        <f>F192</f>
        <v>170.45499999999998</v>
      </c>
      <c r="G211" s="477">
        <f t="shared" si="27"/>
        <v>1242.6199999999999</v>
      </c>
      <c r="H211" s="389">
        <f>ROUND(PI()/4*I204*I204*2,3)</f>
        <v>9.4E-2</v>
      </c>
      <c r="I211" s="389">
        <f>((PI()*($D$49+2*($F$51))))*($D$51)+(PI()*(($D$49+2*($F$51)+$D$52+2*($F$50))/2)*($D$50))-H211</f>
        <v>3.8581235582159605</v>
      </c>
      <c r="J211" s="389">
        <f>ROUND(PI()/4*K204*K204*2,3)</f>
        <v>0.151</v>
      </c>
      <c r="K211" s="389">
        <f>((PI()*($D$49+2*($F$51))))*($D$51)+(PI()*(($D$49+2*($F$51)+$D$52+2*($F$50))/2)*($D$50))-J211</f>
        <v>3.8011235582159606</v>
      </c>
      <c r="L211" s="389">
        <f>ROUND(PI()/4*M204*M204*2,3)</f>
        <v>0.251</v>
      </c>
      <c r="M211" s="389">
        <f>((PI()*($D$49+2*($F$51))))*($D$51)+(PI()*(($D$49+2*($F$51)+$D$52+2*($F$50))/2)*($D$50))-L211</f>
        <v>3.7011235582159605</v>
      </c>
      <c r="N211" s="389">
        <f>ROUND(PI()/4*O204*O204*2,3)</f>
        <v>0.52800000000000002</v>
      </c>
      <c r="O211" s="389">
        <f>((PI()*($D$49+2*($F$51))))*($D$51)+(PI()*(($D$49+2*($F$51)+$D$52+2*($F$50))/2)*($D$50))-N211</f>
        <v>3.4241235582159604</v>
      </c>
      <c r="P211" s="389">
        <f>ROUND(PI()/4*Q204*Q204*2,3)</f>
        <v>0.88400000000000001</v>
      </c>
      <c r="Q211" s="389">
        <f>((PI()*($D$49+2*($F$51))))*($D$51)+(PI()*(($D$49+2*($F$50)+$D$52+2*($F$50))/2)*($D$50-0.175))-P211</f>
        <v>2.4138868881058859</v>
      </c>
      <c r="R211" s="540"/>
      <c r="S211" s="540"/>
      <c r="T211" s="540"/>
      <c r="U211" s="540"/>
    </row>
    <row r="212" spans="1:34" ht="51" hidden="1">
      <c r="A212" s="396"/>
      <c r="B212" s="396"/>
      <c r="C212" s="474" t="str">
        <f>CONCATENATE("Internal Plastering in CM(1:4) of 20 mm thick uniform portion PIx0.90x0.4 and Sloped Portion Pix(0.90+0.56)/2x(.6-.25)  Dedcut Pipe Portion 2xPI()/4x0.25x0.25=",E212)</f>
        <v>Internal Plastering in CM(1:4) of 20 mm thick uniform portion PIx0.90x0.4 and Sloped Portion Pix(0.90+0.56)/2x(.6-.25)  Dedcut Pipe Portion 2xPI()/4x0.25x0.25=6.22</v>
      </c>
      <c r="D212" s="338" t="s">
        <v>224</v>
      </c>
      <c r="E212" s="399">
        <v>6.22</v>
      </c>
      <c r="F212" s="472">
        <f>F193</f>
        <v>259.48599999999999</v>
      </c>
      <c r="G212" s="477">
        <f>-ROUND(E212*F212,2)</f>
        <v>-1614</v>
      </c>
      <c r="H212" s="389">
        <f>ROUND(PI()*$D$49*I204,3)</f>
        <v>0.69</v>
      </c>
      <c r="I212" s="490">
        <f>(PI()*$D$49*$D$51+(PI()*($D$49+$D$52)/2*($D$50-0.175)))-H212</f>
        <v>1.4156524760685589</v>
      </c>
      <c r="J212" s="389">
        <f>ROUND(PI()*$D$49*K204,3)</f>
        <v>0.877</v>
      </c>
      <c r="K212" s="490">
        <f>(PI()*$D$49*$D$51+(PI()*($D$49+$D$52)/2*($D$50-0.175)))-J212</f>
        <v>1.2286524760685589</v>
      </c>
      <c r="L212" s="389">
        <f>ROUND(PI()*$D$49*M204,3)</f>
        <v>1.131</v>
      </c>
      <c r="M212" s="490">
        <f>(PI()*$D$49*$D$51+(PI()*($D$49+$D$52)/2*($D$50-0.175)))-L212</f>
        <v>0.97465247606855887</v>
      </c>
      <c r="N212" s="389">
        <f>ROUND(PI()*$D$49*O204,3)</f>
        <v>1.64</v>
      </c>
      <c r="O212" s="490">
        <f>(PI()*$D$49*$D$51+(PI()*($D$49+$D$52)/2*($D$50-0.175)))-N212</f>
        <v>0.46565247606855897</v>
      </c>
      <c r="P212" s="389">
        <f>ROUND(PI()*$D$49*Q204,3)</f>
        <v>2.121</v>
      </c>
      <c r="Q212" s="490">
        <f>(PI()*$D$49*$D$51+(PI()*($D$49+$D$52)/2*($D$50-0.175)))-P212</f>
        <v>-1.534752393144112E-2</v>
      </c>
      <c r="R212" s="540"/>
      <c r="S212" s="540"/>
      <c r="T212" s="540"/>
      <c r="U212" s="540"/>
    </row>
    <row r="213" spans="1:34" ht="51" hidden="1">
      <c r="A213" s="396"/>
      <c r="B213" s="396"/>
      <c r="C213" s="473" t="str">
        <f>CONCATENATE("CC Channeling with (1:2.5:5) Prop  PIx0.9x0.9x0.30/4 = over Manhole alround for Cover PIx0.81x0.15x0.10= deduct Channel 0.90x0.25x0.25=",E213)</f>
        <v>CC Channeling with (1:2.5:5) Prop  PIx0.9x0.9x0.30/4 = over Manhole alround for Cover PIx0.81x0.15x0.10= deduct Channel 0.90x0.25x0.25=0.225</v>
      </c>
      <c r="D213" s="338" t="s">
        <v>109</v>
      </c>
      <c r="E213" s="489">
        <v>0.22500000000000001</v>
      </c>
      <c r="F213" s="472">
        <f>F194</f>
        <v>6018.18</v>
      </c>
      <c r="G213" s="477">
        <f t="shared" si="27"/>
        <v>1354.09</v>
      </c>
      <c r="H213" s="389">
        <f>ROUND($D$49*(PI()/4)*I204*I204,3)</f>
        <v>4.2000000000000003E-2</v>
      </c>
      <c r="I213" s="389">
        <f>(((PI()*$D$49^2/4)*I204)+(PI()*($D$49+$F$50)*$F$50*0.075)+(PI()*(0.71+0.08)*0.08*0.175))-H213</f>
        <v>0.20920960256267382</v>
      </c>
      <c r="J213" s="389">
        <f>ROUND($D$49*(PI()/4)*K204*K204,3)</f>
        <v>6.8000000000000005E-2</v>
      </c>
      <c r="K213" s="389">
        <f>(((PI()*$D$49^2/4)*K204)+(PI()*($D$49+$F$50)*$F$50*0.075)+(PI()*(0.71+0.08)*0.08*0.175))-J213</f>
        <v>0.22519698837790142</v>
      </c>
      <c r="L213" s="389">
        <f>ROUND($D$49*(PI()/4)*M204*M204,3)</f>
        <v>0.113</v>
      </c>
      <c r="M213" s="389">
        <f>(((PI()*$D$49^2/4)*M204)+(PI()*($D$49+$F$50)*$F$50*0.075)+(PI()*(0.71+0.08)*0.08*0.175))-L213</f>
        <v>0.23745251448957544</v>
      </c>
      <c r="N213" s="389">
        <f>ROUND($D$49*(PI()/4)*O204*O204,3)</f>
        <v>0.23799999999999999</v>
      </c>
      <c r="O213" s="389">
        <f>(((PI()*$D$49^2/4)*O204)+(PI()*($D$49+$F$50)*$F$50*0.075)+(PI()*(0.71+0.08)*0.08*0.175))-N213</f>
        <v>0.22696356671292334</v>
      </c>
      <c r="P213" s="389">
        <f>ROUND($D$49*(PI()/4)*Q204*Q204,3)</f>
        <v>0.39800000000000002</v>
      </c>
      <c r="Q213" s="389">
        <f>(((PI()*$D$49^2/4)*Q204)+(PI()*($D$52+$F$50)*$F$50*0.075)+(PI()*(0.718+2*0.075+0.08)*0.08*0.1))-P213</f>
        <v>0.14576727683556978</v>
      </c>
      <c r="R213" s="540"/>
      <c r="S213" s="540"/>
      <c r="T213" s="540"/>
      <c r="U213" s="540"/>
    </row>
    <row r="214" spans="1:34" hidden="1">
      <c r="A214" s="396"/>
      <c r="B214" s="396"/>
      <c r="C214" s="473" t="s">
        <v>225</v>
      </c>
      <c r="D214" s="338" t="s">
        <v>226</v>
      </c>
      <c r="E214" s="399">
        <v>3</v>
      </c>
      <c r="F214" s="472">
        <f>F195</f>
        <v>81</v>
      </c>
      <c r="G214" s="477">
        <f t="shared" si="27"/>
        <v>243</v>
      </c>
      <c r="H214" s="477"/>
      <c r="I214" s="389"/>
      <c r="J214" s="389"/>
      <c r="K214" s="389"/>
      <c r="L214" s="389"/>
      <c r="M214" s="389"/>
      <c r="N214" s="389"/>
      <c r="O214" s="389"/>
      <c r="P214" s="389"/>
      <c r="Q214" s="389"/>
      <c r="R214" s="540"/>
      <c r="S214" s="540"/>
      <c r="T214" s="540"/>
      <c r="U214" s="540"/>
    </row>
    <row r="215" spans="1:34" hidden="1">
      <c r="A215" s="396"/>
      <c r="B215" s="396"/>
      <c r="C215" s="480" t="s">
        <v>106</v>
      </c>
      <c r="D215" s="338" t="s">
        <v>226</v>
      </c>
      <c r="E215" s="399"/>
      <c r="F215" s="472" t="s">
        <v>154</v>
      </c>
      <c r="G215" s="414">
        <f>G208+G209+G210+G211+G213+G214-G212</f>
        <v>18662.52</v>
      </c>
      <c r="H215" s="414"/>
      <c r="I215" s="389"/>
      <c r="J215" s="389"/>
      <c r="K215" s="389"/>
      <c r="L215" s="389"/>
      <c r="M215" s="389"/>
      <c r="N215" s="389"/>
      <c r="O215" s="389"/>
      <c r="P215" s="389"/>
      <c r="Q215" s="389"/>
      <c r="R215" s="540"/>
      <c r="S215" s="540"/>
      <c r="T215" s="540"/>
      <c r="U215" s="540"/>
    </row>
    <row r="216" spans="1:34" hidden="1">
      <c r="A216" s="396"/>
      <c r="B216" s="397"/>
      <c r="C216" s="480"/>
      <c r="D216" s="397"/>
      <c r="E216" s="399"/>
      <c r="F216" s="472"/>
      <c r="G216" s="414"/>
      <c r="H216" s="475"/>
      <c r="I216" s="389"/>
      <c r="J216" s="389"/>
      <c r="K216" s="389"/>
      <c r="L216" s="389"/>
      <c r="M216" s="389"/>
      <c r="N216" s="389"/>
      <c r="O216" s="389"/>
      <c r="P216" s="389"/>
      <c r="Q216" s="389"/>
      <c r="R216" s="540"/>
      <c r="S216" s="540"/>
      <c r="T216" s="540"/>
      <c r="U216" s="540"/>
    </row>
    <row r="217" spans="1:34" hidden="1">
      <c r="A217" s="396"/>
      <c r="B217" s="397"/>
      <c r="C217" s="481" t="s">
        <v>319</v>
      </c>
      <c r="D217" s="388"/>
      <c r="E217" s="387"/>
      <c r="F217" s="475"/>
      <c r="G217" s="482"/>
      <c r="H217" s="475"/>
      <c r="I217" s="384"/>
      <c r="J217" s="384"/>
      <c r="K217" s="384"/>
      <c r="L217" s="384"/>
      <c r="M217" s="384"/>
      <c r="N217" s="384"/>
      <c r="O217" s="384"/>
      <c r="P217" s="384"/>
      <c r="Q217" s="384"/>
      <c r="R217" s="540"/>
      <c r="S217" s="540"/>
      <c r="T217" s="540"/>
      <c r="U217" s="540"/>
    </row>
    <row r="218" spans="1:34" hidden="1">
      <c r="A218" s="396"/>
      <c r="B218" s="386"/>
      <c r="C218" s="481" t="s">
        <v>320</v>
      </c>
      <c r="D218" s="388" t="s">
        <v>109</v>
      </c>
      <c r="E218" s="483">
        <f>ROUND(E208*0.9+E213*0.9,2)</f>
        <v>0.61</v>
      </c>
      <c r="F218" s="475">
        <f>Lead!T134</f>
        <v>0</v>
      </c>
      <c r="G218" s="475">
        <v>0</v>
      </c>
      <c r="H218" s="384"/>
      <c r="I218" s="483">
        <f>ROUND(I208*0.9+I213*0.9,2)</f>
        <v>0.48</v>
      </c>
      <c r="J218" s="483"/>
      <c r="K218" s="483">
        <f>ROUND(K208*0.9+K213*0.9,2)</f>
        <v>0.49</v>
      </c>
      <c r="L218" s="384"/>
      <c r="M218" s="483">
        <f>ROUND(M208*0.9+M213*0.9,2)</f>
        <v>0.51</v>
      </c>
      <c r="N218" s="384"/>
      <c r="O218" s="483"/>
      <c r="P218" s="384"/>
      <c r="Q218" s="483"/>
      <c r="R218" s="540"/>
      <c r="S218" s="540"/>
      <c r="T218" s="540"/>
      <c r="U218" s="540"/>
    </row>
    <row r="219" spans="1:34" hidden="1">
      <c r="A219" s="396"/>
      <c r="B219" s="386"/>
      <c r="C219" s="481" t="s">
        <v>321</v>
      </c>
      <c r="D219" s="388" t="s">
        <v>109</v>
      </c>
      <c r="E219" s="483">
        <f>ROUND((E209+E210)*0.2+(E211*0.015+E212*0.021)+(E208+E213)*0.45,2)</f>
        <v>0.82</v>
      </c>
      <c r="F219" s="475">
        <f>Lead!T127</f>
        <v>0</v>
      </c>
      <c r="G219" s="475">
        <v>0</v>
      </c>
      <c r="H219" s="384"/>
      <c r="I219" s="483">
        <f>ROUND((I209+I210)*0.2+(I211*0.015+I212*0.021)+(I208+I213)*0.45,2)</f>
        <v>0.44</v>
      </c>
      <c r="J219" s="483"/>
      <c r="K219" s="483">
        <f>ROUND((K209+K210)*0.2+(K211*0.015+K212*0.021)+(K208+K213)*0.45,2)</f>
        <v>0.44</v>
      </c>
      <c r="L219" s="384"/>
      <c r="M219" s="483">
        <f>ROUND((M209+M210)*0.2+(M211*0.015+M212*0.021)+(M208+M213)*0.45,2)</f>
        <v>0.43</v>
      </c>
      <c r="N219" s="384"/>
      <c r="O219" s="483"/>
      <c r="P219" s="384"/>
      <c r="Q219" s="483"/>
      <c r="R219" s="540"/>
      <c r="S219" s="540"/>
      <c r="T219" s="540"/>
      <c r="U219" s="540"/>
    </row>
    <row r="220" spans="1:34" hidden="1">
      <c r="A220" s="396"/>
      <c r="B220" s="386"/>
      <c r="C220" s="481" t="s">
        <v>273</v>
      </c>
      <c r="D220" s="388"/>
      <c r="E220" s="387"/>
      <c r="F220" s="475" t="s">
        <v>154</v>
      </c>
      <c r="G220" s="482">
        <f>SUM(G215:G219)</f>
        <v>18662.52</v>
      </c>
      <c r="H220" s="384"/>
      <c r="I220" s="387"/>
      <c r="J220" s="387"/>
      <c r="K220" s="387"/>
      <c r="L220" s="384"/>
      <c r="M220" s="387"/>
      <c r="N220" s="384"/>
      <c r="O220" s="387"/>
      <c r="P220" s="384"/>
      <c r="Q220" s="387"/>
      <c r="R220" s="540"/>
      <c r="S220" s="540"/>
      <c r="T220" s="540"/>
      <c r="U220" s="540"/>
    </row>
    <row r="221" spans="1:34" hidden="1">
      <c r="A221" s="396"/>
      <c r="B221" s="338"/>
      <c r="C221" s="488"/>
      <c r="D221" s="385"/>
      <c r="E221" s="399"/>
      <c r="F221" s="399"/>
      <c r="G221" s="382"/>
      <c r="H221" s="382"/>
      <c r="I221" s="382"/>
      <c r="J221" s="389"/>
      <c r="K221" s="389"/>
      <c r="L221" s="389"/>
      <c r="M221" s="389"/>
      <c r="N221" s="389"/>
      <c r="O221" s="389"/>
      <c r="P221" s="389"/>
      <c r="Q221" s="389"/>
      <c r="R221" s="540"/>
      <c r="S221" s="540"/>
      <c r="T221" s="540"/>
      <c r="U221" s="540"/>
    </row>
    <row r="222" spans="1:34" hidden="1">
      <c r="A222" s="396"/>
      <c r="B222" s="338"/>
      <c r="C222" s="488"/>
      <c r="D222" s="385"/>
      <c r="E222" s="399"/>
      <c r="F222" s="399"/>
      <c r="G222" s="382"/>
      <c r="H222" s="382"/>
      <c r="I222" s="382"/>
      <c r="J222" s="389"/>
      <c r="K222" s="389"/>
      <c r="L222" s="389"/>
      <c r="M222" s="389"/>
      <c r="N222" s="389"/>
      <c r="O222" s="389"/>
      <c r="P222" s="389"/>
      <c r="Q222" s="389"/>
      <c r="R222" s="540"/>
      <c r="S222" s="540"/>
      <c r="T222" s="540"/>
      <c r="U222" s="540"/>
    </row>
    <row r="223" spans="1:34" ht="177" customHeight="1">
      <c r="A223" s="396"/>
      <c r="B223" s="605">
        <v>7</v>
      </c>
      <c r="C223" s="867" t="s">
        <v>1239</v>
      </c>
      <c r="D223" s="338"/>
      <c r="E223" s="399"/>
      <c r="F223" s="472"/>
      <c r="G223" s="414"/>
      <c r="H223" s="1600" t="s">
        <v>446</v>
      </c>
      <c r="I223" s="1601"/>
      <c r="J223" s="1600" t="s">
        <v>440</v>
      </c>
      <c r="K223" s="1601"/>
      <c r="L223" s="1600" t="s">
        <v>439</v>
      </c>
      <c r="M223" s="1604"/>
      <c r="N223" s="1602" t="s">
        <v>717</v>
      </c>
      <c r="O223" s="1603"/>
      <c r="P223" s="1600" t="s">
        <v>718</v>
      </c>
      <c r="Q223" s="1601"/>
      <c r="R223" s="1600" t="s">
        <v>759</v>
      </c>
      <c r="S223" s="1601"/>
      <c r="T223" s="1600" t="s">
        <v>760</v>
      </c>
      <c r="U223" s="1601"/>
      <c r="V223" s="966"/>
      <c r="W223" s="966"/>
      <c r="X223" s="966"/>
      <c r="Y223" s="966"/>
      <c r="Z223" s="966"/>
      <c r="AA223" s="966"/>
      <c r="AB223" s="966"/>
      <c r="AC223" s="966"/>
      <c r="AD223" s="966"/>
      <c r="AE223" s="966"/>
      <c r="AF223" s="966"/>
      <c r="AG223" s="966"/>
      <c r="AH223" s="966"/>
    </row>
    <row r="224" spans="1:34">
      <c r="A224" s="396"/>
      <c r="B224" s="605"/>
      <c r="C224" s="474" t="s">
        <v>857</v>
      </c>
      <c r="D224" s="338">
        <v>1.2</v>
      </c>
      <c r="E224" s="399" t="s">
        <v>862</v>
      </c>
      <c r="F224" s="472">
        <v>0.2</v>
      </c>
      <c r="G224" s="414"/>
      <c r="H224" s="603" t="s">
        <v>856</v>
      </c>
      <c r="I224" s="604">
        <v>0.24399999999999999</v>
      </c>
      <c r="J224" s="603" t="s">
        <v>856</v>
      </c>
      <c r="K224" s="604">
        <v>0.31</v>
      </c>
      <c r="L224" s="603" t="s">
        <v>856</v>
      </c>
      <c r="M224" s="604">
        <v>0.4</v>
      </c>
      <c r="N224" s="603" t="s">
        <v>856</v>
      </c>
      <c r="O224" s="604">
        <v>0.57999999999999996</v>
      </c>
      <c r="P224" s="603" t="s">
        <v>856</v>
      </c>
      <c r="Q224" s="604">
        <v>0.75</v>
      </c>
      <c r="R224" s="603" t="s">
        <v>867</v>
      </c>
      <c r="S224" s="604">
        <v>0.99</v>
      </c>
      <c r="T224" s="603" t="s">
        <v>867</v>
      </c>
      <c r="U224" s="604">
        <v>1.23</v>
      </c>
      <c r="V224" s="967"/>
      <c r="W224" s="967"/>
      <c r="X224" s="967"/>
      <c r="Y224" s="967"/>
      <c r="Z224" s="967"/>
      <c r="AA224" s="967"/>
      <c r="AB224" s="967"/>
      <c r="AC224" s="967"/>
      <c r="AD224" s="967"/>
      <c r="AE224" s="967"/>
      <c r="AF224" s="967"/>
      <c r="AG224" s="967"/>
      <c r="AH224" s="967"/>
    </row>
    <row r="225" spans="1:37">
      <c r="A225" s="396"/>
      <c r="B225" s="605"/>
      <c r="C225" s="474" t="s">
        <v>858</v>
      </c>
      <c r="D225" s="338">
        <v>1</v>
      </c>
      <c r="E225" s="399" t="s">
        <v>859</v>
      </c>
      <c r="F225" s="472">
        <v>0.23</v>
      </c>
      <c r="G225" s="414"/>
      <c r="H225" s="603"/>
      <c r="I225" s="604"/>
      <c r="J225" s="603"/>
      <c r="K225" s="604"/>
      <c r="L225" s="603"/>
      <c r="M225" s="604"/>
      <c r="N225" s="603"/>
      <c r="O225" s="604"/>
      <c r="P225" s="603"/>
      <c r="Q225" s="604"/>
      <c r="R225" s="706"/>
      <c r="S225" s="707"/>
      <c r="T225" s="706"/>
      <c r="U225" s="707"/>
      <c r="V225" s="966"/>
      <c r="W225" s="966"/>
      <c r="X225" s="966"/>
      <c r="Y225" s="966"/>
      <c r="Z225" s="966"/>
      <c r="AA225" s="966"/>
      <c r="AB225" s="966"/>
      <c r="AC225" s="966"/>
      <c r="AD225" s="966"/>
      <c r="AE225" s="966"/>
      <c r="AF225" s="966"/>
      <c r="AG225" s="966"/>
      <c r="AH225" s="966"/>
    </row>
    <row r="226" spans="1:37">
      <c r="A226" s="396"/>
      <c r="B226" s="605"/>
      <c r="C226" s="474" t="s">
        <v>860</v>
      </c>
      <c r="D226" s="338">
        <v>0.5</v>
      </c>
      <c r="E226" s="399" t="s">
        <v>861</v>
      </c>
      <c r="F226" s="472">
        <v>0.23</v>
      </c>
      <c r="G226" s="414"/>
      <c r="H226" s="603"/>
      <c r="I226" s="604"/>
      <c r="J226" s="603"/>
      <c r="K226" s="604"/>
      <c r="L226" s="603"/>
      <c r="M226" s="604"/>
      <c r="N226" s="603"/>
      <c r="O226" s="604"/>
      <c r="P226" s="603"/>
      <c r="Q226" s="604"/>
      <c r="R226" s="706"/>
      <c r="S226" s="707"/>
      <c r="T226" s="706"/>
      <c r="U226" s="707"/>
      <c r="V226" s="966"/>
      <c r="W226" s="966"/>
      <c r="X226" s="966"/>
      <c r="Y226" s="966"/>
      <c r="Z226" s="966"/>
      <c r="AA226" s="966"/>
      <c r="AB226" s="966"/>
      <c r="AC226" s="966"/>
      <c r="AD226" s="966"/>
      <c r="AE226" s="966"/>
      <c r="AF226" s="966"/>
      <c r="AG226" s="966"/>
      <c r="AH226" s="966"/>
    </row>
    <row r="227" spans="1:37">
      <c r="A227" s="396"/>
      <c r="B227" s="605"/>
      <c r="C227" s="474" t="s">
        <v>865</v>
      </c>
      <c r="D227" s="338">
        <v>0.15</v>
      </c>
      <c r="E227" s="399" t="s">
        <v>866</v>
      </c>
      <c r="F227" s="472">
        <v>0.35</v>
      </c>
      <c r="G227" s="414"/>
      <c r="H227" s="603"/>
      <c r="I227" s="604"/>
      <c r="J227" s="603"/>
      <c r="K227" s="604"/>
      <c r="L227" s="603"/>
      <c r="M227" s="604"/>
      <c r="N227" s="603"/>
      <c r="O227" s="604"/>
      <c r="P227" s="603"/>
      <c r="Q227" s="604"/>
      <c r="R227" s="706"/>
      <c r="S227" s="707"/>
      <c r="T227" s="706"/>
      <c r="U227" s="707"/>
      <c r="V227" s="966"/>
      <c r="W227" s="966"/>
      <c r="X227" s="966"/>
      <c r="Y227" s="966"/>
      <c r="Z227" s="966"/>
      <c r="AA227" s="966"/>
      <c r="AB227" s="966"/>
      <c r="AC227" s="966"/>
      <c r="AD227" s="966"/>
      <c r="AE227" s="966"/>
      <c r="AF227" s="966"/>
      <c r="AG227" s="966"/>
      <c r="AH227" s="966"/>
    </row>
    <row r="228" spans="1:37">
      <c r="A228" s="396"/>
      <c r="B228" s="605"/>
      <c r="C228" s="474" t="s">
        <v>863</v>
      </c>
      <c r="D228" s="338">
        <v>0.56000000000000005</v>
      </c>
      <c r="E228" s="399"/>
      <c r="F228" s="472"/>
      <c r="G228" s="414"/>
      <c r="H228" s="603"/>
      <c r="I228" s="604"/>
      <c r="J228" s="603"/>
      <c r="K228" s="604"/>
      <c r="L228" s="603"/>
      <c r="M228" s="604"/>
      <c r="N228" s="603"/>
      <c r="O228" s="604"/>
      <c r="P228" s="603"/>
      <c r="Q228" s="604"/>
      <c r="R228" s="706"/>
      <c r="S228" s="707"/>
      <c r="T228" s="706"/>
      <c r="U228" s="707"/>
      <c r="V228" s="966"/>
      <c r="W228" s="966"/>
      <c r="X228" s="966"/>
      <c r="Y228" s="966"/>
      <c r="Z228" s="966"/>
      <c r="AA228" s="966"/>
      <c r="AB228" s="966"/>
      <c r="AC228" s="966"/>
      <c r="AD228" s="966"/>
      <c r="AE228" s="966"/>
      <c r="AF228" s="966"/>
      <c r="AG228" s="966"/>
      <c r="AH228" s="966"/>
    </row>
    <row r="229" spans="1:37" ht="29.25" customHeight="1">
      <c r="A229" s="396"/>
      <c r="B229" s="605"/>
      <c r="C229" s="474" t="str">
        <f>CONCATENATE("CC in CM( 1:4:8) PI/4x(1.2+0.35*2+0.3)x0.2=",E229)</f>
        <v>CC in CM( 1:4:8) PI/4x(1.2+0.35*2+0.3)x0.2=0.7603</v>
      </c>
      <c r="D229" s="338" t="s">
        <v>109</v>
      </c>
      <c r="E229" s="489">
        <f>ROUND(O229,4)</f>
        <v>0.76029999999999998</v>
      </c>
      <c r="F229" s="472">
        <f>F208</f>
        <v>5383.2900000000009</v>
      </c>
      <c r="G229" s="477">
        <f>+ROUND(E229*F229,2)</f>
        <v>4092.92</v>
      </c>
      <c r="H229" s="477"/>
      <c r="I229" s="477">
        <f>(PI()/4)*(($D$155+(2*$F$158))+0.3)^2*$F$155</f>
        <v>0.76026542216872983</v>
      </c>
      <c r="J229" s="477"/>
      <c r="K229" s="477">
        <f>(PI()/4)*(($D$155+(2*$F$158))+0.3)^2*$F$155</f>
        <v>0.76026542216872983</v>
      </c>
      <c r="L229" s="477"/>
      <c r="M229" s="477">
        <f>(PI()/4)*(($D$155+(2*$F$158))+0.3)^2*$F$155</f>
        <v>0.76026542216872983</v>
      </c>
      <c r="N229" s="477"/>
      <c r="O229" s="477">
        <f>(PI()/4)*(($D$155+(2*$F$158))+0.3)^2*$F$155</f>
        <v>0.76026542216872983</v>
      </c>
      <c r="P229" s="477"/>
      <c r="Q229" s="477">
        <f>(PI()/4)*(($D$155+(2*$F$158))+0.3)^2*$F$155</f>
        <v>0.76026542216872983</v>
      </c>
      <c r="R229" s="477"/>
      <c r="S229" s="477">
        <f>(PI()/4)*(($D$155+(2*$F$158))+0.3)^2*$F$155</f>
        <v>0.76026542216872983</v>
      </c>
      <c r="T229" s="477"/>
      <c r="U229" s="477">
        <f>(PI()/4)*(($D$155+(2*$F$158))+0.3)^2*$F$155</f>
        <v>0.76026542216872983</v>
      </c>
      <c r="V229" s="447"/>
      <c r="W229" s="447"/>
      <c r="X229" s="447"/>
      <c r="Y229" s="447"/>
      <c r="Z229" s="447"/>
      <c r="AA229" s="447"/>
      <c r="AB229" s="447"/>
      <c r="AC229" s="447"/>
      <c r="AD229" s="447"/>
      <c r="AE229" s="447"/>
      <c r="AF229" s="447"/>
      <c r="AG229" s="447"/>
      <c r="AH229" s="447"/>
    </row>
    <row r="230" spans="1:37" ht="48.75" customHeight="1">
      <c r="A230" s="396"/>
      <c r="B230" s="605"/>
      <c r="C230" s="474" t="str">
        <f>CONCATENATE("2nd Class Brick Masonory in cm (1: 6) Prop using 2nd class bricks for Uniform Section( PIx1.55x0.35x0.15)+( PIx1.43x0.23x0.5)-(PI/4*",O224,"*",O224,"*avg Thick*2)=",E230)</f>
        <v>2nd Class Brick Masonory in cm (1: 6) Prop using 2nd class bricks for Uniform Section( PIx1.55x0.35x0.15)+( PIx1.43x0.23x0.5)-(PI/4*0.58*0.58*avg Thick*2)=0.6343</v>
      </c>
      <c r="D230" s="338" t="s">
        <v>109</v>
      </c>
      <c r="E230" s="489">
        <f t="shared" ref="E230:E234" si="28">ROUND(O230,4)</f>
        <v>0.63429999999999997</v>
      </c>
      <c r="F230" s="472">
        <f>F209</f>
        <v>8504.4699999999993</v>
      </c>
      <c r="G230" s="477">
        <f t="shared" ref="G230:G234" si="29">+ROUND(E230*F230,2)</f>
        <v>5394.39</v>
      </c>
      <c r="H230" s="479">
        <f>ROUND(PI()/4*I224*I224*(($D$158/I224)*$F$158+(((I224-$D$158)/I224)*$F$157))*2,3)</f>
        <v>2.8000000000000001E-2</v>
      </c>
      <c r="I230" s="479">
        <f>(PI()*($D$155+$F$158)*$F$158*$D$158)+(PI()*($D$155+$F$157)*$F$157*$D$157)-H230</f>
        <v>0.74428201406871075</v>
      </c>
      <c r="J230" s="479">
        <f>ROUND(PI()/4*K224*K224*(($D$158/K224)*$F$158+(((K224-$D$158)/K224)*$F$157))*2,3)</f>
        <v>4.2999999999999997E-2</v>
      </c>
      <c r="K230" s="479">
        <f>(PI()*($D$155+$F$158)*$F$158*$D$158)+(PI()*($D$155+$F$157)*$F$157*$D$157)-J230</f>
        <v>0.72928201406871074</v>
      </c>
      <c r="L230" s="479">
        <f>ROUND(PI()/4*M224*M224*(($D$158/M224)*$F$158+(((M224-$D$158)/M224)*$F$157))*2,3)</f>
        <v>6.9000000000000006E-2</v>
      </c>
      <c r="M230" s="479">
        <f>(PI()*($D$155+$F$158)*$F$158*$D$158)+(PI()*($D$155+$F$157)*$F$157*$D$157)-L230</f>
        <v>0.70328201406871083</v>
      </c>
      <c r="N230" s="479">
        <f>ROUND(PI()/4*O224*O224*(($D$158/O224)*$F$158+(((O224-$D$158)/O224)*$F$157))*2,3)</f>
        <v>0.13800000000000001</v>
      </c>
      <c r="O230" s="479">
        <f>(PI()*($D$155+$F$158)*$F$158*$D$158)+(PI()*($D$155+$F$157)*$F$157*$D$157)-N230</f>
        <v>0.63428201406871076</v>
      </c>
      <c r="P230" s="479">
        <f>ROUND(PI()/4*Q224*Q224*(($D$158/Q224)*$F$158+(((Q224-$D$158)/Q224)*$F$157))*2,3)</f>
        <v>0.224</v>
      </c>
      <c r="Q230" s="479">
        <f>(PI()*($D$155+$F$158)*$F$158*$D$158)+(PI()*($D$155+$F$157)*$F$157*$D$157)-P230</f>
        <v>0.5482820140687108</v>
      </c>
      <c r="R230" s="479">
        <f>ROUND(PI()/4*S224*S224*(($D$158/S224)*$F$158+(((S224-$D$158)/S224)*$F$157))*2,3)</f>
        <v>0.38200000000000001</v>
      </c>
      <c r="S230" s="479">
        <f>(PI()*($D$155+$F$158)*$F$158*$D$158)+(PI()*($D$155+$F$157)*$F$157*$D$157)-R230</f>
        <v>0.39028201406871077</v>
      </c>
      <c r="T230" s="479">
        <f>ROUND(PI()/4*U224*U224*(($D$158/U224)*$F$158+(((U224-$D$158)/U224)*$F$157))*2,3)</f>
        <v>0.58099999999999996</v>
      </c>
      <c r="U230" s="479">
        <f>(PI()*($D$155+$F$158)*$F$158*$D$158)+(PI()*($D$155+$F$157)*$F$157*$D$157)-T230</f>
        <v>0.19128201406871082</v>
      </c>
      <c r="V230" s="465"/>
      <c r="W230" s="465"/>
      <c r="X230" s="465"/>
      <c r="Y230" s="465"/>
      <c r="Z230" s="465"/>
      <c r="AA230" s="465"/>
      <c r="AB230" s="465"/>
      <c r="AC230" s="465"/>
      <c r="AD230" s="465"/>
      <c r="AE230" s="465"/>
      <c r="AF230" s="465"/>
      <c r="AG230" s="465"/>
      <c r="AH230" s="465"/>
    </row>
    <row r="231" spans="1:37" ht="36.75" customHeight="1">
      <c r="A231" s="396"/>
      <c r="B231" s="605"/>
      <c r="C231" s="474" t="str">
        <f>CONCATENATE("2nd Class Brick Masonory work  in cm (1: 6) )Prop using 2nd class bricks for Carbelling Portion Pix(1.46+0.78)/2x0.23x(1.00-.25)=",E231)</f>
        <v>2nd Class Brick Masonory work  in cm (1: 6) )Prop using 2nd class bricks for Carbelling Portion Pix(1.46+0.78)/2x0.23x(1.00-.25)=0.6015</v>
      </c>
      <c r="D231" s="338" t="s">
        <v>109</v>
      </c>
      <c r="E231" s="489">
        <f t="shared" si="28"/>
        <v>0.60150000000000003</v>
      </c>
      <c r="F231" s="472">
        <f>F230</f>
        <v>8504.4699999999993</v>
      </c>
      <c r="G231" s="477">
        <f t="shared" si="29"/>
        <v>5115.4399999999996</v>
      </c>
      <c r="H231" s="389"/>
      <c r="I231" s="389">
        <f>(PI()*(($D$155+$F$156+$D$159+$F$156)/2)*$F$156)*($D$156-0.25)</f>
        <v>0.60153645334610573</v>
      </c>
      <c r="J231" s="389"/>
      <c r="K231" s="389">
        <f>(PI()*(($D$155+$F$156+$D$159+$F$156)/2)*$F$156)*($D$156-0.25)</f>
        <v>0.60153645334610573</v>
      </c>
      <c r="L231" s="493"/>
      <c r="M231" s="389">
        <f>(PI()*(($D$155+$F$156+$D$159+$F$156)/2)*$F$156)*($D$156-0.25)</f>
        <v>0.60153645334610573</v>
      </c>
      <c r="N231" s="389"/>
      <c r="O231" s="868">
        <f>(PI()*(($D$155+$F$156+$D$159+$F$156)/2)*$F$156)*($D$156-0.25)</f>
        <v>0.60153645334610573</v>
      </c>
      <c r="P231" s="389"/>
      <c r="Q231" s="389">
        <f>(PI()*(($D$155+$F$156+$D$159+$F$156)/2)*$F$156)*($D$156-0.25)</f>
        <v>0.60153645334610573</v>
      </c>
      <c r="R231" s="493"/>
      <c r="S231" s="389">
        <f>(PI()*(($D$155+$F$156+$D$159+$F$156)/2)*$F$156)*($D$156-0.25)</f>
        <v>0.60153645334610573</v>
      </c>
      <c r="T231" s="493"/>
      <c r="U231" s="389">
        <f>(PI()*(($D$155+$F$156+$D$159+$F$156)/2)*$F$156)*($D$156-0.25)</f>
        <v>0.60153645334610573</v>
      </c>
      <c r="V231" s="165"/>
      <c r="W231" s="165"/>
      <c r="X231" s="165"/>
      <c r="Y231" s="165"/>
      <c r="Z231" s="165"/>
      <c r="AA231" s="165"/>
      <c r="AB231" s="165"/>
      <c r="AC231" s="165"/>
      <c r="AD231" s="165"/>
      <c r="AE231" s="165"/>
      <c r="AF231" s="165"/>
      <c r="AG231" s="165"/>
      <c r="AH231" s="165"/>
    </row>
    <row r="232" spans="1:37" ht="50.25" customHeight="1">
      <c r="A232" s="396"/>
      <c r="B232" s="605"/>
      <c r="C232" s="970" t="str">
        <f>CONCATENATE("External Plastering in CM(1:4) of 12 mm thick vertical portion Pix(1.2+.35*2)x0.15+Pix(1.20+.23*2)*0.50 and sloped portion Pix(1.2+.46+1.01)/2x(1.00-.25)  Dedcut Pipe Portion 2xPI()/4x0.58x0.58=",E232)</f>
        <v>External Plastering in CM(1:4) of 12 mm thick vertical portion Pix(1.2+.35*2)x0.15+Pix(1.20+.23*2)*0.50 and sloped portion Pix(1.2+.46+1.01)/2x(1.00-.25)  Dedcut Pipe Portion 2xPI()/4x0.58x0.58=6.1322</v>
      </c>
      <c r="D232" s="338" t="s">
        <v>224</v>
      </c>
      <c r="E232" s="489">
        <f t="shared" si="28"/>
        <v>6.1322000000000001</v>
      </c>
      <c r="F232" s="472">
        <f>F211</f>
        <v>170.45499999999998</v>
      </c>
      <c r="G232" s="477">
        <f t="shared" si="29"/>
        <v>1045.26</v>
      </c>
      <c r="H232" s="389">
        <f>ROUND(PI()/4*I224*I224*2,3)</f>
        <v>9.4E-2</v>
      </c>
      <c r="I232" s="389">
        <f>(PI()*($D$155+2*($F$158))*($D$158))+(PI()*($D$155+(2*$F$157))*$D$157)+(PI()*(($D$155+2*($F$156)+$D$159+2*($F$156))/2)*($D$156-0.25))-H232</f>
        <v>6.5661764256103607</v>
      </c>
      <c r="J232" s="389">
        <f>ROUND(PI()/4*K224*K224*2,3)</f>
        <v>0.151</v>
      </c>
      <c r="K232" s="389">
        <f>(PI()*($D$155+2*($F$158))*($D$158))+(PI()*($D$155+(2*$F$157))*$D$157)+(PI()*(($D$155+2*($F$156)+$D$159+2*($F$156))/2)*($D$156-0.25))-J232</f>
        <v>6.5091764256103612</v>
      </c>
      <c r="L232" s="389">
        <f>ROUND(PI()/4*M224*M224*2,3)</f>
        <v>0.251</v>
      </c>
      <c r="M232" s="389">
        <f>(PI()*($D$155+2*($F$158))*($D$158))+(PI()*($D$155+(2*$F$157))*$D$157)+(PI()*(($D$155+2*($F$156)+$D$159+2*($F$156))/2)*($D$156-0.25))-L232</f>
        <v>6.4091764256103607</v>
      </c>
      <c r="N232" s="389">
        <f>ROUND(PI()/4*O224*O224*2,3)</f>
        <v>0.52800000000000002</v>
      </c>
      <c r="O232" s="868">
        <f>(PI()*($D$155+2*($F$158))*($D$158))+(PI()*($D$155+(2*$F$157))*$D$157)+(PI()*(($D$155+2*($F$156)+$D$159+2*($F$156))/2)*($D$156-0.25))-N232</f>
        <v>6.1321764256103606</v>
      </c>
      <c r="P232" s="389">
        <f>ROUND(PI()/4*Q224*Q224*2,3)</f>
        <v>0.88400000000000001</v>
      </c>
      <c r="Q232" s="389">
        <f>(PI()*($D$155+2*($F$158))*($D$158))+(PI()*($D$155+(2*$F$157))*$D$157)+(PI()*(($D$155+2*($F$156)+$D$159+2*($F$156))/2)*($D$156-0.25))-P232</f>
        <v>5.7761764256103607</v>
      </c>
      <c r="R232" s="389">
        <f>ROUND(PI()/4*S224*S224*2,3)</f>
        <v>1.54</v>
      </c>
      <c r="S232" s="389">
        <f>(PI()*($D$155+2*($F$158))*($D$158))+(PI()*($D$155+(2*$F$157))*$D$157)+(PI()*(($D$155+2*($F$156)+$D$159+2*($F$156))/2)*($D$156-0.25))-R232</f>
        <v>5.120176425610361</v>
      </c>
      <c r="T232" s="389">
        <f>ROUND(PI()/4*U224*U224*2,3)</f>
        <v>2.3759999999999999</v>
      </c>
      <c r="U232" s="389">
        <f>(PI()*($D$155+2*($F$158))*($D$158))+(PI()*($D$155+(2*$F$157))*$D$157)+(PI()*(($D$155+2*($F$156)+$D$159+2*($F$156))/2)*($D$156-0.25))-T232</f>
        <v>4.2841764256103616</v>
      </c>
      <c r="V232" s="165"/>
      <c r="W232" s="165"/>
      <c r="X232" s="165"/>
      <c r="Y232" s="165"/>
      <c r="Z232" s="165"/>
      <c r="AA232" s="165"/>
      <c r="AB232" s="165"/>
      <c r="AC232" s="165"/>
      <c r="AD232" s="165"/>
      <c r="AE232" s="165"/>
      <c r="AF232" s="165"/>
      <c r="AG232" s="165"/>
      <c r="AH232" s="165"/>
    </row>
    <row r="233" spans="1:37" ht="51.75" customHeight="1">
      <c r="A233" s="396"/>
      <c r="B233" s="396"/>
      <c r="C233" s="474" t="str">
        <f>CONCATENATE("Internal Plastering in CM(1:4) of 20 mm thick uniform portion PIx1.20x0.15+Pix1.20*0.50 and Sloped Portion Pix(1.20+0.56)/2x(1.00-.25)  Dedcut Pipe Portion 2xPI()/4x0.58x0.58=",E233)</f>
        <v>Internal Plastering in CM(1:4) of 20 mm thick uniform portion PIx1.20x0.15+Pix1.20*0.50 and Sloped Portion Pix(1.20+0.56)/2x(1.00-.25)  Dedcut Pipe Portion 2xPI()/4x0.58x0.58=2.3369</v>
      </c>
      <c r="D233" s="338" t="s">
        <v>224</v>
      </c>
      <c r="E233" s="489">
        <f t="shared" si="28"/>
        <v>2.3369</v>
      </c>
      <c r="F233" s="472">
        <f>F212</f>
        <v>259.48599999999999</v>
      </c>
      <c r="G233" s="477">
        <f t="shared" si="29"/>
        <v>606.39</v>
      </c>
      <c r="H233" s="389">
        <f>ROUND(PI()*$D$155*I224,3)</f>
        <v>0.92</v>
      </c>
      <c r="I233" s="490">
        <f>((PI()*$D$155*$D$158)+(PI()*($D$155)*$D$157)+(PI()*($D$155+$D$159)/2*($D$156-0.175)))-H233</f>
        <v>3.8112385363062282</v>
      </c>
      <c r="J233" s="389">
        <f>ROUND(PI()*$D$155*K224,3)</f>
        <v>1.169</v>
      </c>
      <c r="K233" s="490">
        <f>((PI()*$D$155*$D$158)+(PI()*($D$155)*$D$157)+(PI()*($D$155+$D$159)/2*($D$156-0.175)))-J233</f>
        <v>3.5622385363062281</v>
      </c>
      <c r="L233" s="389">
        <f>ROUND(PI()*$D$155*M224,3)</f>
        <v>1.508</v>
      </c>
      <c r="M233" s="490">
        <f>((PI()*$D$155*$D$158)+(PI()*($D$155)*$D$157)+(PI()*($D$155+$D$159)/2*($D$156-0.175)))-L233</f>
        <v>3.2232385363062281</v>
      </c>
      <c r="N233" s="389">
        <f>ROUND(PI()*$D$155*O224,3)</f>
        <v>2.1869999999999998</v>
      </c>
      <c r="O233" s="869">
        <f>((PI()*$D$155*$D$158)+(PI()*($D$155)*$D$157)+(PI()*($D$155+$D$159)/2*($D$156-0.25)))-N233</f>
        <v>2.3368934211693015</v>
      </c>
      <c r="P233" s="389">
        <f>ROUND(PI()*$D$155*Q224,3)</f>
        <v>2.827</v>
      </c>
      <c r="Q233" s="490">
        <f>((PI()*$D$155*$D$158)+(PI()*($D$155)*$D$157)+(PI()*($D$155+$D$159)/2*($D$156-0.175)))-P233</f>
        <v>1.9042385363062282</v>
      </c>
      <c r="R233" s="389">
        <f>ROUND(PI()*$D$155*S224,3)</f>
        <v>3.7320000000000002</v>
      </c>
      <c r="S233" s="490">
        <f>((PI()*$D$155*$D$158)+(PI()*($D$155)*$D$157)+(PI()*($D$155+$D$159)/2*($D$156-0.175)))-R233</f>
        <v>0.99923853630622794</v>
      </c>
      <c r="T233" s="389">
        <f>ROUND(PI()*$D$155*U224,3)</f>
        <v>4.6369999999999996</v>
      </c>
      <c r="U233" s="490">
        <f>((PI()*$D$155*$D$158)+(PI()*($D$155)*$D$157)+(PI()*($D$155+$D$159)/2*($D$156-0.175)))-T233</f>
        <v>9.4238536306228582E-2</v>
      </c>
      <c r="V233" s="467"/>
      <c r="W233" s="467"/>
      <c r="X233" s="467"/>
      <c r="Y233" s="467"/>
      <c r="Z233" s="467"/>
      <c r="AA233" s="467"/>
      <c r="AB233" s="467"/>
      <c r="AC233" s="467"/>
      <c r="AD233" s="467"/>
      <c r="AE233" s="467"/>
      <c r="AF233" s="467"/>
      <c r="AG233" s="467"/>
      <c r="AH233" s="467"/>
      <c r="AK233" s="141">
        <f>(PI()*$D$155^2/4)*0.1</f>
        <v>0.11309733552923257</v>
      </c>
    </row>
    <row r="234" spans="1:37" ht="60.75" customHeight="1">
      <c r="A234" s="396"/>
      <c r="B234" s="396"/>
      <c r="C234" s="473" t="str">
        <f>CONCATENATE("CC Channeling with (1:2.5:5) Prop  PIx1.20x1.20x0.10/4 = over Manhole alround for Cover PIx0.(.56+.23)x0.23x0.10+ Pi x( 0.86+.08)x.08*0.15= deduct Channel Pi/4 x 0.58*0.58/2=",E234)</f>
        <v>CC Channeling with (1:2.5:5) Prop  PIx1.20x1.20x0.10/4 = over Manhole alround for Cover PIx0.(.56+.23)x0.23x0.10+ Pi x( 0.86+.08)x.08*0.15= deduct Channel Pi/4 x 0.58*0.58/2=0.0471</v>
      </c>
      <c r="D234" s="338" t="s">
        <v>109</v>
      </c>
      <c r="E234" s="489">
        <f t="shared" si="28"/>
        <v>4.7100000000000003E-2</v>
      </c>
      <c r="F234" s="472">
        <f>F213</f>
        <v>6018.18</v>
      </c>
      <c r="G234" s="477">
        <f t="shared" si="29"/>
        <v>283.45999999999998</v>
      </c>
      <c r="H234" s="389">
        <f>ROUND($D$155*(PI()/4)*I224*I224,3)</f>
        <v>5.6000000000000001E-2</v>
      </c>
      <c r="I234" s="389">
        <f>(((PI()*$D$155^2/4)*I224)+(PI()*($D$155+$F$156)*$F$156*0.075)+(PI()*(0.71+0.08)*0.08*0.175))-H234</f>
        <v>0.33219875022245671</v>
      </c>
      <c r="J234" s="389">
        <f>ROUND($D$155*(PI()/4)*K224*K224,3)</f>
        <v>9.0999999999999998E-2</v>
      </c>
      <c r="K234" s="389">
        <f>(((PI()*$D$155^2/4)*K224)+(PI()*($D$155+$F$156)*$F$156*0.075)+(PI()*(0.71+0.08)*0.08*0.175))-J234</f>
        <v>0.37184299167175017</v>
      </c>
      <c r="L234" s="389">
        <f>ROUND($D$155*(PI()/4)*M224*M224,3)</f>
        <v>0.151</v>
      </c>
      <c r="M234" s="389">
        <f>(((PI()*$D$155^2/4)*M224)+(PI()*($D$155+$F$156)*$F$156*0.075)+(PI()*(0.71+0.08)*0.08*0.175))-L234</f>
        <v>0.41363059364805954</v>
      </c>
      <c r="N234" s="389">
        <f>ROUND($D$155*(PI()/4)*O224*O224,3)*(1/2)</f>
        <v>0.1585</v>
      </c>
      <c r="O234" s="868">
        <f>(((PI()*$D$155^2/4)*0.1)+(PI()*($D$159+$F$156)*$F$156*0.1)+(PI()*(0.86+0.08)*0.08*0.15))-N234</f>
        <v>4.7117239177451975E-2</v>
      </c>
      <c r="P234" s="389">
        <f>ROUND($D$155*(PI()/4)*Q224*Q224,3)</f>
        <v>0.53</v>
      </c>
      <c r="Q234" s="389">
        <f>(((PI()*$D$155^2/4)*Q224)+(PI()*($D$155+$F$156)*$F$156*0.075)+(PI()*(0.71+0.08)*0.08*0.175))-P234</f>
        <v>0.4304712680003735</v>
      </c>
      <c r="R234" s="389">
        <f>ROUND($D$155*(PI()/4)*S224*S224,3)</f>
        <v>0.92400000000000004</v>
      </c>
      <c r="S234" s="389">
        <f>(((PI()*$D$155^2/4)*S224)+(PI()*($D$155+$F$156)*$F$156*0.075)+(PI()*(0.71+0.08)*0.08*0.175))-R234</f>
        <v>0.30790487327053151</v>
      </c>
      <c r="T234" s="389">
        <f>ROUND($D$155*(PI()/4)*U224*U224,3)</f>
        <v>1.4259999999999999</v>
      </c>
      <c r="U234" s="389">
        <f>(((PI()*$D$155^2/4)*U224)+(PI()*($D$155+$F$156)*$F$156*0.075)+(PI()*(0.71+0.08)*0.08*0.175))-T234</f>
        <v>7.733847854068987E-2</v>
      </c>
      <c r="V234" s="165"/>
      <c r="W234" s="165"/>
      <c r="X234" s="165"/>
      <c r="Y234" s="165"/>
      <c r="Z234" s="165"/>
      <c r="AA234" s="165"/>
      <c r="AB234" s="165"/>
      <c r="AC234" s="165"/>
      <c r="AD234" s="165"/>
      <c r="AE234" s="165"/>
      <c r="AF234" s="165"/>
      <c r="AG234" s="165"/>
      <c r="AH234" s="165"/>
    </row>
    <row r="235" spans="1:37">
      <c r="A235" s="396"/>
      <c r="B235" s="396"/>
      <c r="C235" s="473" t="s">
        <v>225</v>
      </c>
      <c r="D235" s="338" t="s">
        <v>226</v>
      </c>
      <c r="E235" s="399">
        <v>3</v>
      </c>
      <c r="F235" s="472">
        <f>F214</f>
        <v>81</v>
      </c>
      <c r="G235" s="477">
        <f>E235*F235</f>
        <v>243</v>
      </c>
      <c r="H235" s="477"/>
      <c r="I235" s="389"/>
      <c r="J235" s="389"/>
      <c r="K235" s="389"/>
      <c r="L235" s="389"/>
      <c r="M235" s="389"/>
      <c r="N235" s="389"/>
      <c r="O235" s="389"/>
      <c r="P235" s="389"/>
      <c r="Q235" s="389"/>
      <c r="R235" s="540"/>
      <c r="S235" s="540"/>
      <c r="T235" s="540"/>
      <c r="U235" s="540"/>
    </row>
    <row r="236" spans="1:37" s="1088" customFormat="1">
      <c r="A236" s="1080"/>
      <c r="B236" s="1080"/>
      <c r="C236" s="1081" t="s">
        <v>106</v>
      </c>
      <c r="D236" s="1082" t="s">
        <v>226</v>
      </c>
      <c r="E236" s="1083"/>
      <c r="F236" s="1084" t="s">
        <v>154</v>
      </c>
      <c r="G236" s="1085">
        <f>SUM(G229:G235)</f>
        <v>16780.86</v>
      </c>
      <c r="H236" s="1086"/>
      <c r="I236" s="1087"/>
      <c r="J236" s="1087"/>
      <c r="K236" s="1087"/>
      <c r="L236" s="1087"/>
      <c r="M236" s="1087"/>
      <c r="N236" s="1087"/>
      <c r="O236" s="1087"/>
      <c r="P236" s="1087"/>
      <c r="Q236" s="1087"/>
      <c r="R236" s="1087"/>
      <c r="S236" s="1087"/>
      <c r="T236" s="1087"/>
      <c r="U236" s="1087"/>
    </row>
    <row r="237" spans="1:37" s="1088" customFormat="1" hidden="1">
      <c r="A237" s="1080"/>
      <c r="B237" s="1080"/>
      <c r="C237" s="1081"/>
      <c r="D237" s="1089"/>
      <c r="E237" s="1083"/>
      <c r="F237" s="1084"/>
      <c r="G237" s="1086"/>
      <c r="H237" s="1090"/>
      <c r="I237" s="1087"/>
      <c r="J237" s="1087"/>
      <c r="K237" s="1087"/>
      <c r="L237" s="1087"/>
      <c r="M237" s="1087"/>
      <c r="N237" s="1087"/>
      <c r="O237" s="1087"/>
      <c r="P237" s="1087"/>
      <c r="Q237" s="1087"/>
      <c r="R237" s="1091"/>
      <c r="S237" s="1091"/>
      <c r="T237" s="1091"/>
      <c r="U237" s="1091"/>
      <c r="V237" s="1092"/>
      <c r="W237" s="1092"/>
      <c r="X237" s="1092"/>
      <c r="Y237" s="1092"/>
      <c r="Z237" s="1092"/>
      <c r="AA237" s="1092"/>
      <c r="AB237" s="1092"/>
      <c r="AC237" s="1092"/>
      <c r="AD237" s="1092"/>
      <c r="AE237" s="1092"/>
      <c r="AF237" s="1092"/>
      <c r="AG237" s="1092"/>
      <c r="AH237" s="1092"/>
    </row>
    <row r="238" spans="1:37" s="1088" customFormat="1">
      <c r="A238" s="1080"/>
      <c r="B238" s="1080"/>
      <c r="C238" s="1093" t="s">
        <v>319</v>
      </c>
      <c r="D238" s="1094"/>
      <c r="E238" s="1095"/>
      <c r="F238" s="1090"/>
      <c r="G238" s="1096"/>
      <c r="H238" s="1090"/>
      <c r="I238" s="1091"/>
      <c r="J238" s="1091"/>
      <c r="K238" s="1091"/>
      <c r="L238" s="1091"/>
      <c r="M238" s="1091"/>
      <c r="N238" s="1091"/>
      <c r="O238" s="1091"/>
      <c r="P238" s="1091"/>
      <c r="Q238" s="1091"/>
      <c r="R238" s="1091"/>
      <c r="S238" s="1091"/>
      <c r="T238" s="1091"/>
      <c r="U238" s="1091"/>
      <c r="V238" s="1092"/>
      <c r="W238" s="1092"/>
      <c r="X238" s="1092"/>
      <c r="Y238" s="1092"/>
      <c r="Z238" s="1092"/>
      <c r="AA238" s="1092"/>
      <c r="AB238" s="1092"/>
      <c r="AC238" s="1092"/>
      <c r="AD238" s="1092"/>
      <c r="AE238" s="1092"/>
      <c r="AF238" s="1092"/>
      <c r="AG238" s="1092"/>
      <c r="AH238" s="1092"/>
    </row>
    <row r="239" spans="1:37" s="1088" customFormat="1">
      <c r="A239" s="1080"/>
      <c r="B239" s="1080"/>
      <c r="C239" s="1093" t="s">
        <v>320</v>
      </c>
      <c r="D239" s="1094" t="s">
        <v>109</v>
      </c>
      <c r="E239" s="1097">
        <f>ROUND(E229*0.9+E234*0.9,2)</f>
        <v>0.73</v>
      </c>
      <c r="F239" s="1090">
        <f>Lead!T154</f>
        <v>0</v>
      </c>
      <c r="G239" s="1090">
        <v>0</v>
      </c>
      <c r="H239" s="1091"/>
      <c r="I239" s="1097">
        <f>ROUND(I229*0.9+I234*0.9,2)</f>
        <v>0.98</v>
      </c>
      <c r="J239" s="1097"/>
      <c r="K239" s="1097">
        <f>ROUND(K229*0.9+K234*0.9,2)</f>
        <v>1.02</v>
      </c>
      <c r="L239" s="1091"/>
      <c r="M239" s="1097">
        <f>ROUND(M229*0.9+M234*0.9,2)</f>
        <v>1.06</v>
      </c>
      <c r="N239" s="1091"/>
      <c r="O239" s="1097"/>
      <c r="P239" s="1091"/>
      <c r="Q239" s="1097"/>
      <c r="R239" s="1091"/>
      <c r="S239" s="1091"/>
      <c r="T239" s="1091"/>
      <c r="U239" s="1091"/>
      <c r="V239" s="1092"/>
      <c r="W239" s="1092"/>
      <c r="X239" s="1092"/>
      <c r="Y239" s="1092"/>
      <c r="Z239" s="1092"/>
      <c r="AA239" s="1092"/>
      <c r="AB239" s="1092"/>
      <c r="AC239" s="1092"/>
      <c r="AD239" s="1092"/>
      <c r="AE239" s="1092"/>
      <c r="AF239" s="1092"/>
      <c r="AG239" s="1092"/>
      <c r="AH239" s="1092"/>
    </row>
    <row r="240" spans="1:37" s="1088" customFormat="1">
      <c r="A240" s="1080"/>
      <c r="B240" s="1089"/>
      <c r="C240" s="1093" t="s">
        <v>321</v>
      </c>
      <c r="D240" s="1094" t="s">
        <v>109</v>
      </c>
      <c r="E240" s="1097">
        <f>ROUND((E230+E231)*0.2+(E232*0.015+E233*0.021)+(E229+E234)*0.45,2)</f>
        <v>0.75</v>
      </c>
      <c r="F240" s="1090">
        <f>Lead!T147</f>
        <v>0</v>
      </c>
      <c r="G240" s="1090">
        <v>0</v>
      </c>
      <c r="H240" s="1091"/>
      <c r="I240" s="1097">
        <f>ROUND((I230+I231)*0.2+(I232*0.015+I233*0.021)+(I229+I234)*0.45,2)</f>
        <v>0.94</v>
      </c>
      <c r="J240" s="1097"/>
      <c r="K240" s="1097">
        <f>ROUND((K230+K231)*0.2+(K232*0.015+K233*0.021)+(K229+K234)*0.45,2)</f>
        <v>0.95</v>
      </c>
      <c r="L240" s="1091"/>
      <c r="M240" s="1097">
        <f>ROUND((M230+M231)*0.2+(M232*0.015+M233*0.021)+(M229+M234)*0.45,2)</f>
        <v>0.95</v>
      </c>
      <c r="N240" s="1091"/>
      <c r="O240" s="1097"/>
      <c r="P240" s="1091"/>
      <c r="Q240" s="1097"/>
      <c r="R240" s="1091"/>
      <c r="S240" s="1091"/>
      <c r="T240" s="1091"/>
      <c r="U240" s="1091"/>
      <c r="V240" s="1092"/>
      <c r="W240" s="1092"/>
      <c r="X240" s="1092"/>
      <c r="Y240" s="1092"/>
      <c r="Z240" s="1092"/>
      <c r="AA240" s="1092"/>
      <c r="AB240" s="1092"/>
      <c r="AC240" s="1092"/>
      <c r="AD240" s="1092"/>
      <c r="AE240" s="1092"/>
      <c r="AF240" s="1092"/>
      <c r="AG240" s="1092"/>
      <c r="AH240" s="1092"/>
    </row>
    <row r="241" spans="1:34" s="1088" customFormat="1">
      <c r="A241" s="1080"/>
      <c r="B241" s="1098"/>
      <c r="C241" s="1093" t="s">
        <v>273</v>
      </c>
      <c r="D241" s="1094"/>
      <c r="E241" s="1095"/>
      <c r="F241" s="1090" t="s">
        <v>154</v>
      </c>
      <c r="G241" s="1099">
        <f>SUM(G236:G240)</f>
        <v>16780.86</v>
      </c>
      <c r="H241" s="1091"/>
      <c r="I241" s="1095"/>
      <c r="J241" s="1095"/>
      <c r="K241" s="1095"/>
      <c r="L241" s="1091"/>
      <c r="M241" s="1095"/>
      <c r="N241" s="1091"/>
      <c r="O241" s="1095"/>
      <c r="P241" s="1091"/>
      <c r="Q241" s="1095"/>
      <c r="R241" s="1087"/>
      <c r="S241" s="1087"/>
      <c r="T241" s="1087"/>
      <c r="U241" s="1087"/>
    </row>
    <row r="242" spans="1:34" ht="204" hidden="1">
      <c r="A242" s="396"/>
      <c r="B242" s="605">
        <v>8</v>
      </c>
      <c r="C242" s="492" t="s">
        <v>1242</v>
      </c>
      <c r="D242" s="338"/>
      <c r="E242" s="399"/>
      <c r="F242" s="472"/>
      <c r="G242" s="414"/>
      <c r="H242" s="1600" t="s">
        <v>446</v>
      </c>
      <c r="I242" s="1600"/>
      <c r="J242" s="1600" t="s">
        <v>440</v>
      </c>
      <c r="K242" s="1600"/>
      <c r="L242" s="1600" t="s">
        <v>439</v>
      </c>
      <c r="M242" s="1600"/>
      <c r="N242" s="1600" t="s">
        <v>717</v>
      </c>
      <c r="O242" s="1600"/>
      <c r="P242" s="1602" t="s">
        <v>718</v>
      </c>
      <c r="Q242" s="1602"/>
      <c r="R242" s="1600" t="s">
        <v>759</v>
      </c>
      <c r="S242" s="1600"/>
      <c r="T242" s="1600" t="s">
        <v>760</v>
      </c>
      <c r="U242" s="1600"/>
      <c r="V242" s="968"/>
      <c r="W242" s="968"/>
      <c r="X242" s="968"/>
      <c r="Y242" s="968"/>
      <c r="Z242" s="968"/>
      <c r="AA242" s="968"/>
      <c r="AB242" s="968"/>
      <c r="AC242" s="968"/>
      <c r="AD242" s="968"/>
      <c r="AE242" s="968"/>
      <c r="AF242" s="968"/>
      <c r="AG242" s="968"/>
      <c r="AH242" s="968"/>
    </row>
    <row r="243" spans="1:34" hidden="1">
      <c r="A243" s="396"/>
      <c r="B243" s="605"/>
      <c r="C243" s="474" t="s">
        <v>857</v>
      </c>
      <c r="D243" s="338">
        <v>1.2</v>
      </c>
      <c r="E243" s="399" t="s">
        <v>862</v>
      </c>
      <c r="F243" s="472">
        <v>0.2</v>
      </c>
      <c r="G243" s="414"/>
      <c r="H243" s="603" t="s">
        <v>856</v>
      </c>
      <c r="I243" s="604">
        <v>0.24399999999999999</v>
      </c>
      <c r="J243" s="603" t="s">
        <v>856</v>
      </c>
      <c r="K243" s="604">
        <v>0.31</v>
      </c>
      <c r="L243" s="603" t="s">
        <v>856</v>
      </c>
      <c r="M243" s="604">
        <v>0.4</v>
      </c>
      <c r="N243" s="603" t="s">
        <v>856</v>
      </c>
      <c r="O243" s="604">
        <v>0.57999999999999996</v>
      </c>
      <c r="P243" s="603" t="s">
        <v>856</v>
      </c>
      <c r="Q243" s="604">
        <v>0.75</v>
      </c>
      <c r="R243" s="603" t="s">
        <v>867</v>
      </c>
      <c r="S243" s="604">
        <v>0.99</v>
      </c>
      <c r="T243" s="603" t="s">
        <v>867</v>
      </c>
      <c r="U243" s="604">
        <v>1.23</v>
      </c>
      <c r="V243" s="967"/>
      <c r="W243" s="967"/>
      <c r="X243" s="967"/>
      <c r="Y243" s="967"/>
      <c r="Z243" s="967"/>
      <c r="AA243" s="967"/>
      <c r="AB243" s="967"/>
      <c r="AC243" s="967"/>
      <c r="AD243" s="967"/>
      <c r="AE243" s="967"/>
      <c r="AF243" s="967"/>
      <c r="AG243" s="967"/>
      <c r="AH243" s="967"/>
    </row>
    <row r="244" spans="1:34" hidden="1">
      <c r="A244" s="396"/>
      <c r="B244" s="605"/>
      <c r="C244" s="474" t="s">
        <v>858</v>
      </c>
      <c r="D244" s="338">
        <v>1</v>
      </c>
      <c r="E244" s="399" t="s">
        <v>859</v>
      </c>
      <c r="F244" s="472">
        <v>0.23</v>
      </c>
      <c r="G244" s="414"/>
      <c r="H244" s="603"/>
      <c r="I244" s="604"/>
      <c r="J244" s="603"/>
      <c r="K244" s="604"/>
      <c r="L244" s="603"/>
      <c r="M244" s="604"/>
      <c r="N244" s="603"/>
      <c r="O244" s="604"/>
      <c r="P244" s="603"/>
      <c r="Q244" s="604"/>
      <c r="R244" s="706"/>
      <c r="S244" s="707"/>
      <c r="T244" s="706"/>
      <c r="U244" s="707"/>
      <c r="V244" s="966"/>
      <c r="W244" s="966"/>
      <c r="X244" s="966"/>
      <c r="Y244" s="966"/>
      <c r="Z244" s="966"/>
      <c r="AA244" s="966"/>
      <c r="AB244" s="966"/>
      <c r="AC244" s="966"/>
      <c r="AD244" s="966"/>
      <c r="AE244" s="966"/>
      <c r="AF244" s="966"/>
      <c r="AG244" s="966"/>
      <c r="AH244" s="966"/>
    </row>
    <row r="245" spans="1:34" hidden="1">
      <c r="A245" s="396"/>
      <c r="B245" s="605"/>
      <c r="C245" s="474" t="s">
        <v>860</v>
      </c>
      <c r="D245" s="338">
        <v>0.5</v>
      </c>
      <c r="E245" s="399" t="s">
        <v>861</v>
      </c>
      <c r="F245" s="472">
        <v>0.23</v>
      </c>
      <c r="G245" s="414"/>
      <c r="H245" s="603"/>
      <c r="I245" s="604"/>
      <c r="J245" s="603"/>
      <c r="K245" s="604"/>
      <c r="L245" s="603"/>
      <c r="M245" s="604"/>
      <c r="N245" s="603"/>
      <c r="O245" s="604"/>
      <c r="P245" s="603"/>
      <c r="Q245" s="604"/>
      <c r="R245" s="706"/>
      <c r="S245" s="707"/>
      <c r="T245" s="706"/>
      <c r="U245" s="707"/>
      <c r="V245" s="966"/>
      <c r="W245" s="966"/>
      <c r="X245" s="966"/>
      <c r="Y245" s="966"/>
      <c r="Z245" s="966"/>
      <c r="AA245" s="966"/>
      <c r="AB245" s="966"/>
      <c r="AC245" s="966"/>
      <c r="AD245" s="966"/>
      <c r="AE245" s="966"/>
      <c r="AF245" s="966"/>
      <c r="AG245" s="966"/>
      <c r="AH245" s="966"/>
    </row>
    <row r="246" spans="1:34" hidden="1">
      <c r="A246" s="396"/>
      <c r="B246" s="605"/>
      <c r="C246" s="474" t="s">
        <v>865</v>
      </c>
      <c r="D246" s="338">
        <v>0.15</v>
      </c>
      <c r="E246" s="399" t="s">
        <v>866</v>
      </c>
      <c r="F246" s="472">
        <v>0.35</v>
      </c>
      <c r="G246" s="414"/>
      <c r="H246" s="603"/>
      <c r="I246" s="604"/>
      <c r="J246" s="603"/>
      <c r="K246" s="604"/>
      <c r="L246" s="603"/>
      <c r="M246" s="604"/>
      <c r="N246" s="603"/>
      <c r="O246" s="604"/>
      <c r="P246" s="603"/>
      <c r="Q246" s="604"/>
      <c r="R246" s="706"/>
      <c r="S246" s="707"/>
      <c r="T246" s="706"/>
      <c r="U246" s="707"/>
      <c r="V246" s="966"/>
      <c r="W246" s="966"/>
      <c r="X246" s="966"/>
      <c r="Y246" s="966"/>
      <c r="Z246" s="966"/>
      <c r="AA246" s="966"/>
      <c r="AB246" s="966"/>
      <c r="AC246" s="966"/>
      <c r="AD246" s="966"/>
      <c r="AE246" s="966"/>
      <c r="AF246" s="966"/>
      <c r="AG246" s="966"/>
      <c r="AH246" s="966"/>
    </row>
    <row r="247" spans="1:34" hidden="1">
      <c r="A247" s="396"/>
      <c r="B247" s="605"/>
      <c r="C247" s="474" t="s">
        <v>863</v>
      </c>
      <c r="D247" s="338">
        <v>0.56000000000000005</v>
      </c>
      <c r="E247" s="399"/>
      <c r="F247" s="472"/>
      <c r="G247" s="414"/>
      <c r="H247" s="603"/>
      <c r="I247" s="604"/>
      <c r="J247" s="603"/>
      <c r="K247" s="604"/>
      <c r="L247" s="603"/>
      <c r="M247" s="604"/>
      <c r="N247" s="603"/>
      <c r="O247" s="604"/>
      <c r="P247" s="603"/>
      <c r="Q247" s="604"/>
      <c r="R247" s="706"/>
      <c r="S247" s="707"/>
      <c r="T247" s="706"/>
      <c r="U247" s="707"/>
      <c r="V247" s="966"/>
      <c r="W247" s="966"/>
      <c r="X247" s="966"/>
      <c r="Y247" s="966"/>
      <c r="Z247" s="966"/>
      <c r="AA247" s="966"/>
      <c r="AB247" s="966"/>
      <c r="AC247" s="966"/>
      <c r="AD247" s="966"/>
      <c r="AE247" s="966"/>
      <c r="AF247" s="966"/>
      <c r="AG247" s="966"/>
      <c r="AH247" s="966"/>
    </row>
    <row r="248" spans="1:34" hidden="1">
      <c r="A248" s="396"/>
      <c r="B248" s="605"/>
      <c r="C248" s="474" t="str">
        <f>CONCATENATE("CC in CM( 1:4:8) PI/4x(0.9+0.46+0.3)x0.15=",E248)</f>
        <v>CC in CM( 1:4:8) PI/4x(0.9+0.46+0.3)x0.15=0.453</v>
      </c>
      <c r="D248" s="338" t="s">
        <v>109</v>
      </c>
      <c r="E248" s="489">
        <v>0.45300000000000001</v>
      </c>
      <c r="F248" s="472">
        <f>F229</f>
        <v>5383.2900000000009</v>
      </c>
      <c r="G248" s="477">
        <f t="shared" ref="G248:G254" si="30">+ROUND(E248*F248,2)</f>
        <v>2438.63</v>
      </c>
      <c r="H248" s="477"/>
      <c r="I248" s="477">
        <f>(PI()/4)*(($D$155+(2*$F$158))+0.3)^2*$F$155</f>
        <v>0.76026542216872983</v>
      </c>
      <c r="J248" s="477"/>
      <c r="K248" s="477">
        <f>(PI()/4)*(($D$155+(2*$F$158))+0.3)^2*$F$155</f>
        <v>0.76026542216872983</v>
      </c>
      <c r="L248" s="477"/>
      <c r="M248" s="477">
        <f>(PI()/4)*(($D$155+(2*$F$158))+0.3)^2*$F$155</f>
        <v>0.76026542216872983</v>
      </c>
      <c r="N248" s="477"/>
      <c r="O248" s="477">
        <f>(PI()/4)*(($D$155+(2*$F$158))+0.3)^2*$F$155</f>
        <v>0.76026542216872983</v>
      </c>
      <c r="P248" s="477"/>
      <c r="Q248" s="477">
        <f>(PI()/4)*(($D$155+(2*$F$158))+0.3)^2*$F$155</f>
        <v>0.76026542216872983</v>
      </c>
      <c r="R248" s="477"/>
      <c r="S248" s="477">
        <f>(PI()/4)*(($D$155+(2*$F$158))+0.3)^2*$F$155</f>
        <v>0.76026542216872983</v>
      </c>
      <c r="T248" s="477"/>
      <c r="U248" s="477">
        <f>(PI()/4)*(($D$155+(2*$F$158))+0.3)^2*$F$155</f>
        <v>0.76026542216872983</v>
      </c>
      <c r="V248" s="447"/>
      <c r="W248" s="447"/>
      <c r="X248" s="447"/>
      <c r="Y248" s="447"/>
      <c r="Z248" s="447"/>
      <c r="AA248" s="447"/>
      <c r="AB248" s="447"/>
      <c r="AC248" s="447"/>
      <c r="AD248" s="447"/>
      <c r="AE248" s="447"/>
      <c r="AF248" s="447"/>
      <c r="AG248" s="447"/>
      <c r="AH248" s="447"/>
    </row>
    <row r="249" spans="1:34" ht="38.25" hidden="1">
      <c r="A249" s="396"/>
      <c r="B249" s="605"/>
      <c r="C249" s="474" t="str">
        <f>CONCATENATE("2nd Class Brick Masonory in cm (1: 6) Prop using 2nd class bricks for Uniform Section( PIx1.13x0.23x0.4)-(PI/4*0.23*0.23*.23*2)=",E249)</f>
        <v>2nd Class Brick Masonory in cm (1: 6) Prop using 2nd class bricks for Uniform Section( PIx1.13x0.23x0.4)-(PI/4*0.23*0.23*.23*2)=0.582</v>
      </c>
      <c r="D249" s="338" t="s">
        <v>109</v>
      </c>
      <c r="E249" s="489">
        <v>0.58199999999999996</v>
      </c>
      <c r="F249" s="472">
        <f>F230</f>
        <v>8504.4699999999993</v>
      </c>
      <c r="G249" s="477">
        <f t="shared" si="30"/>
        <v>4949.6000000000004</v>
      </c>
      <c r="H249" s="479">
        <f>ROUND(PI()/4*I243*I243*(($D$158/I243)*$F$158+(((I243-$D$158)/I243)*$F$157))*2,3)</f>
        <v>2.8000000000000001E-2</v>
      </c>
      <c r="I249" s="479">
        <f>(PI()*($D$155+$F$158)*$F$158*$D$158)+(PI()*($D$155+$F$157)*$F$157*$D$157)-H249</f>
        <v>0.74428201406871075</v>
      </c>
      <c r="J249" s="479">
        <f>ROUND(PI()/4*K243*K243*(($D$158/K243)*$F$158+(((K243-$D$158)/K243)*$F$157))*2,3)</f>
        <v>4.2999999999999997E-2</v>
      </c>
      <c r="K249" s="479">
        <f>(PI()*($D$155+$F$158)*$F$158*$D$158)+(PI()*($D$155+$F$157)*$F$157*$D$157)-J249</f>
        <v>0.72928201406871074</v>
      </c>
      <c r="L249" s="479">
        <f>ROUND(PI()/4*M243*M243*(($D$158/M243)*$F$158+(((M243-$D$158)/M243)*$F$157))*2,3)</f>
        <v>6.9000000000000006E-2</v>
      </c>
      <c r="M249" s="479">
        <f>(PI()*($D$155+$F$158)*$F$158*$D$158)+(PI()*($D$155+$F$157)*$F$157*$D$157)-L249</f>
        <v>0.70328201406871083</v>
      </c>
      <c r="N249" s="479">
        <f>ROUND(PI()/4*O243*O243*(($D$158/O243)*$F$158+(((O243-$D$158)/O243)*$F$157))*2,3)</f>
        <v>0.13800000000000001</v>
      </c>
      <c r="O249" s="479">
        <f>(PI()*($D$155+$F$158)*$F$158*$D$158)+(PI()*($D$155+$F$157)*$F$157*$D$157)-N249</f>
        <v>0.63428201406871076</v>
      </c>
      <c r="P249" s="479">
        <f>ROUND(PI()/4*Q243*Q243*(($D$158/Q243)*$F$158+(((Q243-$D$158)/Q243)*$F$157))*2,3)</f>
        <v>0.224</v>
      </c>
      <c r="Q249" s="479">
        <f>(PI()*($D$155+$F$158)*$F$158*$D$158)+(PI()*($D$155+$F$157)*$F$157*$D$157)-P249</f>
        <v>0.5482820140687108</v>
      </c>
      <c r="R249" s="479">
        <f>ROUND(PI()/4*S243*S243*(($D$158/S243)*$F$158+(((S243-$D$158)/S243)*$F$157))*2,3)</f>
        <v>0.38200000000000001</v>
      </c>
      <c r="S249" s="479">
        <f>(PI()*($D$155+$F$158)*$F$158*$D$158)+(PI()*($D$155+$F$157)*$F$157*$D$157)-R249</f>
        <v>0.39028201406871077</v>
      </c>
      <c r="T249" s="479">
        <f>ROUND(PI()/4*U243*U243*(($D$158/U243)*$F$158+(((U243-$D$158)/U243)*$F$157))*2,3)</f>
        <v>0.58099999999999996</v>
      </c>
      <c r="U249" s="479">
        <f>(PI()*($D$155+$F$158)*$F$158*$D$158)+(PI()*($D$155+$F$157)*$F$157*$D$157)-T249</f>
        <v>0.19128201406871082</v>
      </c>
      <c r="V249" s="465"/>
      <c r="W249" s="465"/>
      <c r="X249" s="465"/>
      <c r="Y249" s="465"/>
      <c r="Z249" s="465"/>
      <c r="AA249" s="465"/>
      <c r="AB249" s="465"/>
      <c r="AC249" s="465"/>
      <c r="AD249" s="465"/>
      <c r="AE249" s="465"/>
      <c r="AF249" s="465"/>
      <c r="AG249" s="465"/>
      <c r="AH249" s="465"/>
    </row>
    <row r="250" spans="1:34" ht="38.25" hidden="1">
      <c r="A250" s="396"/>
      <c r="B250" s="605"/>
      <c r="C250" s="474" t="str">
        <f>CONCATENATE("2nd Class Brick Masonory work  in cm (1: 6) )Prop using 2nd class bricks for Carbelling Portion Pix(1.13+0.78)/2x0.23x(0.6-.25)=",E250)</f>
        <v>2nd Class Brick Masonory work  in cm (1: 6) )Prop using 2nd class bricks for Carbelling Portion Pix(1.13+0.78)/2x0.23x(0.6-.25)=0.802</v>
      </c>
      <c r="D250" s="338" t="s">
        <v>109</v>
      </c>
      <c r="E250" s="489">
        <v>0.80200000000000005</v>
      </c>
      <c r="F250" s="472">
        <f>F249</f>
        <v>8504.4699999999993</v>
      </c>
      <c r="G250" s="477">
        <f t="shared" si="30"/>
        <v>6820.58</v>
      </c>
      <c r="H250" s="389"/>
      <c r="I250" s="389">
        <f>(PI()*(($D$155+$F$156+$D$159+$F$156)/2)*$F$156)*($D$156-0.25)</f>
        <v>0.60153645334610573</v>
      </c>
      <c r="J250" s="389"/>
      <c r="K250" s="389">
        <f>(PI()*(($D$155+$F$156+$D$159+$F$156)/2)*$F$156)*($D$156-0.25)</f>
        <v>0.60153645334610573</v>
      </c>
      <c r="L250" s="493"/>
      <c r="M250" s="389">
        <f>(PI()*(($D$155+$F$156+$D$159+$F$156)/2)*$F$156)*($D$156-0.25)</f>
        <v>0.60153645334610573</v>
      </c>
      <c r="N250" s="389"/>
      <c r="O250" s="389">
        <f>(PI()*(($D$155+$F$156+$D$159+$F$156)/2)*$F$156)*($D$156-0.25)</f>
        <v>0.60153645334610573</v>
      </c>
      <c r="P250" s="389"/>
      <c r="Q250" s="389">
        <f>(PI()*(($D$155+$F$156+$D$159+$F$156)/2)*$F$156)*($D$156-0.175)</f>
        <v>0.66169009868071627</v>
      </c>
      <c r="R250" s="493"/>
      <c r="S250" s="389">
        <f>(PI()*(($D$155+$F$156+$D$159+$F$156)/2)*$F$156)*($D$156-0.25)</f>
        <v>0.60153645334610573</v>
      </c>
      <c r="T250" s="493"/>
      <c r="U250" s="389">
        <f>(PI()*(($D$155+$F$156+$D$159+$F$156)/2)*$F$156)*($D$156-0.25)</f>
        <v>0.60153645334610573</v>
      </c>
      <c r="V250" s="165"/>
      <c r="W250" s="165"/>
      <c r="X250" s="165"/>
      <c r="Y250" s="165"/>
      <c r="Z250" s="165"/>
      <c r="AA250" s="165"/>
      <c r="AB250" s="165"/>
      <c r="AC250" s="165"/>
      <c r="AD250" s="165"/>
      <c r="AE250" s="165"/>
      <c r="AF250" s="165"/>
      <c r="AG250" s="165"/>
      <c r="AH250" s="165"/>
    </row>
    <row r="251" spans="1:34" ht="51" hidden="1">
      <c r="A251" s="396"/>
      <c r="B251" s="605"/>
      <c r="C251" s="970" t="str">
        <f>CONCATENATE("External Plastering in CM(1:4) of 12 mm thick vertical portion Pix(.9+.23*2)x0.40 and sloped portion Pix(1.36+1.01)/2x(0.6-.25)  Dedcut Pipe Portion 2xPI()/4x0.23x0.23=",E251)</f>
        <v>External Plastering in CM(1:4) of 12 mm thick vertical portion Pix(.9+.23*2)x0.40 and sloped portion Pix(1.36+1.01)/2x(0.6-.25)  Dedcut Pipe Portion 2xPI()/4x0.23x0.23=7.29</v>
      </c>
      <c r="D251" s="338" t="s">
        <v>224</v>
      </c>
      <c r="E251" s="489">
        <v>7.29</v>
      </c>
      <c r="F251" s="472">
        <f>F232</f>
        <v>170.45499999999998</v>
      </c>
      <c r="G251" s="477">
        <f t="shared" si="30"/>
        <v>1242.6199999999999</v>
      </c>
      <c r="H251" s="389">
        <f>ROUND(PI()/4*I243*I243*2,3)</f>
        <v>9.4E-2</v>
      </c>
      <c r="I251" s="389">
        <f>(PI()*($D$155+2*($F$158))*($D$158))+(PI()*($D$155+(2*$F$157))*$D$157)+(PI()*(($D$155+2*($F$156)+$D$159+2*($F$156))/2)*($D$156-0.25))-H251</f>
        <v>6.5661764256103607</v>
      </c>
      <c r="J251" s="389">
        <f>ROUND(PI()/4*K243*K243*2,3)</f>
        <v>0.151</v>
      </c>
      <c r="K251" s="389">
        <f>(PI()*($D$155+2*($F$158))*($D$158))+(PI()*($D$155+(2*$F$157))*$D$157)+(PI()*(($D$155+2*($F$156)+$D$159+2*($F$156))/2)*($D$156-0.25))-J251</f>
        <v>6.5091764256103612</v>
      </c>
      <c r="L251" s="389">
        <f>ROUND(PI()/4*M243*M243*2,3)</f>
        <v>0.251</v>
      </c>
      <c r="M251" s="389">
        <f>(PI()*($D$155+2*($F$158))*($D$158))+(PI()*($D$155+(2*$F$157))*$D$157)+(PI()*(($D$155+2*($F$156)+$D$159+2*($F$156))/2)*($D$156-0.25))-L251</f>
        <v>6.4091764256103607</v>
      </c>
      <c r="N251" s="389">
        <f>ROUND(PI()/4*O243*O243*2,3)</f>
        <v>0.52800000000000002</v>
      </c>
      <c r="O251" s="389">
        <f>(PI()*($D$155+2*($F$158))*($D$158))+(PI()*($D$155+(2*$F$157))*$D$157)+(PI()*(($D$155+2*($F$156)+$D$159+2*($F$156))/2)*($D$156-0.25))-N251</f>
        <v>6.1321764256103606</v>
      </c>
      <c r="P251" s="389">
        <f>ROUND(PI()/4*Q243*Q243*2,3)</f>
        <v>0.88400000000000001</v>
      </c>
      <c r="Q251" s="389">
        <f>(PI()*($D$155+2*($F$158))*($D$158))+(PI()*($D$155+(2*$F$157))*$D$157)+(PI()*(($D$155+2*($F$156)+$D$159+2*($F$156))/2)*($D$156-0.175))-P251</f>
        <v>6.0919064872961339</v>
      </c>
      <c r="R251" s="389">
        <f>ROUND(PI()/4*S243*S243*2,3)</f>
        <v>1.54</v>
      </c>
      <c r="S251" s="389">
        <f>(PI()*($D$155+2*($F$158))*($D$158))+(PI()*($D$155+(2*$F$157))*$D$157)+(PI()*(($D$155+2*($F$156)+$D$159+2*($F$156))/2)*($D$156-0.25))-R251</f>
        <v>5.120176425610361</v>
      </c>
      <c r="T251" s="389">
        <f>ROUND(PI()/4*U243*U243*2,3)</f>
        <v>2.3759999999999999</v>
      </c>
      <c r="U251" s="389">
        <f>(PI()*($D$155+2*($F$158))*($D$158))+(PI()*($D$155+(2*$F$157))*$D$157)+(PI()*(($D$155+2*($F$156)+$D$159+2*($F$156))/2)*($D$156-0.25))-T251</f>
        <v>4.2841764256103616</v>
      </c>
      <c r="V251" s="165"/>
      <c r="W251" s="165"/>
      <c r="X251" s="165"/>
      <c r="Y251" s="165"/>
      <c r="Z251" s="165"/>
      <c r="AA251" s="165"/>
      <c r="AB251" s="165"/>
      <c r="AC251" s="165"/>
      <c r="AD251" s="165"/>
      <c r="AE251" s="165"/>
      <c r="AF251" s="165"/>
      <c r="AG251" s="165"/>
      <c r="AH251" s="165"/>
    </row>
    <row r="252" spans="1:34" ht="51" hidden="1">
      <c r="A252" s="396"/>
      <c r="B252" s="605"/>
      <c r="C252" s="474" t="str">
        <f>CONCATENATE("Internal Plastering in CM(1:4) of 20 mm thick uniform portion PIx0.90x0.4 and Sloped Portion Pix(0.90+0.56)/2x(.6-.25)  Dedcut Pipe Portion 2xPI()/4x0.25x0.25=",E252)</f>
        <v>Internal Plastering in CM(1:4) of 20 mm thick uniform portion PIx0.90x0.4 and Sloped Portion Pix(0.90+0.56)/2x(.6-.25)  Dedcut Pipe Portion 2xPI()/4x0.25x0.25=6.22</v>
      </c>
      <c r="D252" s="338" t="s">
        <v>224</v>
      </c>
      <c r="E252" s="399">
        <v>6.22</v>
      </c>
      <c r="F252" s="472">
        <f>F233</f>
        <v>259.48599999999999</v>
      </c>
      <c r="G252" s="477">
        <f t="shared" si="30"/>
        <v>1614</v>
      </c>
      <c r="H252" s="389">
        <f>ROUND(PI()*$D$155*I243,3)</f>
        <v>0.92</v>
      </c>
      <c r="I252" s="490">
        <f>((PI()*$D$155*$D$158)+(PI()*($D$155)*$D$157)+(PI()*($D$155+$D$159)/2*($D$156-0.175)))-H252</f>
        <v>3.8112385363062282</v>
      </c>
      <c r="J252" s="389">
        <f>ROUND(PI()*$D$155*K243,3)</f>
        <v>1.169</v>
      </c>
      <c r="K252" s="490">
        <f>((PI()*$D$155*$D$158)+(PI()*($D$155)*$D$157)+(PI()*($D$155+$D$159)/2*($D$156-0.175)))-J252</f>
        <v>3.5622385363062281</v>
      </c>
      <c r="L252" s="389">
        <f>ROUND(PI()*$D$155*M243,3)</f>
        <v>1.508</v>
      </c>
      <c r="M252" s="490">
        <f>((PI()*$D$155*$D$158)+(PI()*($D$155)*$D$157)+(PI()*($D$155+$D$159)/2*($D$156-0.175)))-L252</f>
        <v>3.2232385363062281</v>
      </c>
      <c r="N252" s="389">
        <f>ROUND(PI()*$D$155*O243,3)</f>
        <v>2.1869999999999998</v>
      </c>
      <c r="O252" s="490">
        <f>((PI()*$D$155*$D$158)+(PI()*($D$155)*$D$157)+(PI()*($D$155+$D$159)/2*($D$156-0.175)))-N252</f>
        <v>2.5442385363062283</v>
      </c>
      <c r="P252" s="389">
        <f>ROUND(PI()*$D$155*Q243,3)</f>
        <v>2.827</v>
      </c>
      <c r="Q252" s="490">
        <f>((PI()*$D$155*$D$158)+(PI()*($D$155)*$D$157)+(PI()*($D$155+$D$159)/2*($D$156-0.175)))-P252</f>
        <v>1.9042385363062282</v>
      </c>
      <c r="R252" s="389">
        <f>ROUND(PI()*$D$155*S243,3)</f>
        <v>3.7320000000000002</v>
      </c>
      <c r="S252" s="490">
        <f>((PI()*$D$155*$D$158)+(PI()*($D$155)*$D$157)+(PI()*($D$155+$D$159)/2*($D$156-0.175)))-R252</f>
        <v>0.99923853630622794</v>
      </c>
      <c r="T252" s="389">
        <f>ROUND(PI()*$D$155*U243,3)</f>
        <v>4.6369999999999996</v>
      </c>
      <c r="U252" s="490">
        <f>((PI()*$D$155*$D$158)+(PI()*($D$155)*$D$157)+(PI()*($D$155+$D$159)/2*($D$156-0.175)))-T252</f>
        <v>9.4238536306228582E-2</v>
      </c>
      <c r="V252" s="467"/>
      <c r="W252" s="467"/>
      <c r="X252" s="467"/>
      <c r="Y252" s="467"/>
      <c r="Z252" s="467"/>
      <c r="AA252" s="467"/>
      <c r="AB252" s="467"/>
      <c r="AC252" s="467"/>
      <c r="AD252" s="467"/>
      <c r="AE252" s="467"/>
      <c r="AF252" s="467"/>
      <c r="AG252" s="467"/>
      <c r="AH252" s="467"/>
    </row>
    <row r="253" spans="1:34" ht="51" hidden="1">
      <c r="A253" s="396"/>
      <c r="B253" s="605"/>
      <c r="C253" s="473" t="str">
        <f>CONCATENATE("CC Channeling with (1:2.5:5) Prop  PIx0.9x0.9x0.30/4 = over Manhole alround for Cover PIx0.81x0.15x0.10= deduct Channel 0.90x0.25x0.25=",E253)</f>
        <v>CC Channeling with (1:2.5:5) Prop  PIx0.9x0.9x0.30/4 = over Manhole alround for Cover PIx0.81x0.15x0.10= deduct Channel 0.90x0.25x0.25=0.225</v>
      </c>
      <c r="D253" s="338" t="s">
        <v>109</v>
      </c>
      <c r="E253" s="489">
        <v>0.22500000000000001</v>
      </c>
      <c r="F253" s="472">
        <f>F234</f>
        <v>6018.18</v>
      </c>
      <c r="G253" s="477">
        <f t="shared" si="30"/>
        <v>1354.09</v>
      </c>
      <c r="H253" s="389">
        <f>ROUND($D$155*(PI()/4)*I243*I243,3)</f>
        <v>5.6000000000000001E-2</v>
      </c>
      <c r="I253" s="389">
        <f>(((PI()*$D$155^2/4)*I243)+(PI()*($D$155+$F$156)*$F$156*0.075)+(PI()*(0.71+0.08)*0.08*0.175))-H253</f>
        <v>0.33219875022245671</v>
      </c>
      <c r="J253" s="389">
        <f>ROUND($D$155*(PI()/4)*K243*K243,3)</f>
        <v>9.0999999999999998E-2</v>
      </c>
      <c r="K253" s="389">
        <f>(((PI()*$D$155^2/4)*K243)+(PI()*($D$155+$F$156)*$F$156*0.075)+(PI()*(0.71+0.08)*0.08*0.175))-J253</f>
        <v>0.37184299167175017</v>
      </c>
      <c r="L253" s="389">
        <f>ROUND($D$155*(PI()/4)*M243*M243,3)</f>
        <v>0.151</v>
      </c>
      <c r="M253" s="389">
        <f>(((PI()*$D$155^2/4)*M243)+(PI()*($D$155+$F$156)*$F$156*0.075)+(PI()*(0.71+0.08)*0.08*0.175))-L253</f>
        <v>0.41363059364805954</v>
      </c>
      <c r="N253" s="389">
        <f>ROUND($D$155*(PI()/4)*O243*O243,3)</f>
        <v>0.317</v>
      </c>
      <c r="O253" s="389">
        <f>(((PI()*$D$155^2/4)*O243)+(PI()*($D$155+$F$156)*$F$156*0.075)+(PI()*(0.71+0.08)*0.08*0.175))-N253</f>
        <v>0.45120579760067808</v>
      </c>
      <c r="P253" s="389">
        <f>ROUND($D$155*(PI()/4)*Q243*Q243,3)</f>
        <v>0.53</v>
      </c>
      <c r="Q253" s="389">
        <f>(((PI()*$D$155^2/4)*Q243)+(PI()*($D$159+$F$156)*$F$156*0.075)+(PI()*(0.71+2*0.075+0.08)*0.08*0.1))-P253</f>
        <v>0.38466684711103427</v>
      </c>
      <c r="R253" s="389">
        <f>ROUND($D$155*(PI()/4)*S243*S243,3)</f>
        <v>0.92400000000000004</v>
      </c>
      <c r="S253" s="389">
        <f>(((PI()*$D$155^2/4)*S243)+(PI()*($D$155+$F$156)*$F$156*0.075)+(PI()*(0.71+0.08)*0.08*0.175))-R253</f>
        <v>0.30790487327053151</v>
      </c>
      <c r="T253" s="389">
        <f>ROUND($D$155*(PI()/4)*U243*U243,3)</f>
        <v>1.4259999999999999</v>
      </c>
      <c r="U253" s="389">
        <f>(((PI()*$D$155^2/4)*U243)+(PI()*($D$155+$F$156)*$F$156*0.075)+(PI()*(0.71+0.08)*0.08*0.175))-T253</f>
        <v>7.733847854068987E-2</v>
      </c>
      <c r="V253" s="165"/>
      <c r="W253" s="165"/>
      <c r="X253" s="165"/>
      <c r="Y253" s="165"/>
      <c r="Z253" s="165"/>
      <c r="AA253" s="165"/>
      <c r="AB253" s="165"/>
      <c r="AC253" s="165"/>
      <c r="AD253" s="165"/>
      <c r="AE253" s="165"/>
      <c r="AF253" s="165"/>
      <c r="AG253" s="165"/>
      <c r="AH253" s="165"/>
    </row>
    <row r="254" spans="1:34" hidden="1">
      <c r="A254" s="396"/>
      <c r="B254" s="605"/>
      <c r="C254" s="473" t="s">
        <v>225</v>
      </c>
      <c r="D254" s="338" t="s">
        <v>226</v>
      </c>
      <c r="E254" s="399">
        <v>3</v>
      </c>
      <c r="F254" s="472">
        <f>F235</f>
        <v>81</v>
      </c>
      <c r="G254" s="477">
        <f t="shared" si="30"/>
        <v>243</v>
      </c>
      <c r="H254" s="477"/>
      <c r="I254" s="389"/>
      <c r="J254" s="389"/>
      <c r="K254" s="389"/>
      <c r="L254" s="389"/>
      <c r="M254" s="389"/>
      <c r="N254" s="389"/>
      <c r="O254" s="389"/>
      <c r="P254" s="389"/>
      <c r="Q254" s="389"/>
      <c r="R254" s="540"/>
      <c r="S254" s="540"/>
      <c r="T254" s="540"/>
      <c r="U254" s="540"/>
    </row>
    <row r="255" spans="1:34" hidden="1">
      <c r="A255" s="396"/>
      <c r="B255" s="605"/>
      <c r="C255" s="480" t="s">
        <v>106</v>
      </c>
      <c r="D255" s="338" t="s">
        <v>226</v>
      </c>
      <c r="E255" s="399"/>
      <c r="F255" s="472" t="s">
        <v>154</v>
      </c>
      <c r="G255" s="414">
        <f>SUM(G248:G254)</f>
        <v>18662.52</v>
      </c>
      <c r="H255" s="414"/>
      <c r="I255" s="389"/>
      <c r="J255" s="389"/>
      <c r="K255" s="389"/>
      <c r="L255" s="389"/>
      <c r="M255" s="389"/>
      <c r="N255" s="389"/>
      <c r="O255" s="389"/>
      <c r="P255" s="389"/>
      <c r="Q255" s="389"/>
      <c r="R255" s="540"/>
      <c r="S255" s="540"/>
      <c r="T255" s="540"/>
      <c r="U255" s="540"/>
    </row>
    <row r="256" spans="1:34" hidden="1">
      <c r="A256" s="396"/>
      <c r="B256" s="605"/>
      <c r="C256" s="480"/>
      <c r="D256" s="397"/>
      <c r="E256" s="399"/>
      <c r="F256" s="472"/>
      <c r="G256" s="414"/>
      <c r="H256" s="475"/>
      <c r="I256" s="389"/>
      <c r="J256" s="389"/>
      <c r="K256" s="389"/>
      <c r="L256" s="389"/>
      <c r="M256" s="389"/>
      <c r="N256" s="389"/>
      <c r="O256" s="389"/>
      <c r="P256" s="389"/>
      <c r="Q256" s="389"/>
      <c r="R256" s="657"/>
      <c r="S256" s="657"/>
      <c r="T256" s="657"/>
      <c r="U256" s="657"/>
      <c r="V256" s="197"/>
      <c r="W256" s="197"/>
      <c r="X256" s="197"/>
      <c r="Y256" s="197"/>
      <c r="Z256" s="197"/>
      <c r="AA256" s="197"/>
      <c r="AB256" s="197"/>
      <c r="AC256" s="197"/>
      <c r="AD256" s="197"/>
      <c r="AE256" s="197"/>
      <c r="AF256" s="197"/>
      <c r="AG256" s="197"/>
      <c r="AH256" s="197"/>
    </row>
    <row r="257" spans="1:34" hidden="1">
      <c r="A257" s="396"/>
      <c r="B257" s="605"/>
      <c r="C257" s="481" t="s">
        <v>319</v>
      </c>
      <c r="D257" s="388"/>
      <c r="E257" s="387"/>
      <c r="F257" s="475"/>
      <c r="G257" s="482"/>
      <c r="H257" s="475"/>
      <c r="I257" s="384"/>
      <c r="J257" s="384"/>
      <c r="K257" s="384"/>
      <c r="L257" s="384"/>
      <c r="M257" s="384"/>
      <c r="N257" s="384"/>
      <c r="O257" s="384"/>
      <c r="P257" s="384"/>
      <c r="Q257" s="384"/>
      <c r="R257" s="657"/>
      <c r="S257" s="657"/>
      <c r="T257" s="657"/>
      <c r="U257" s="657"/>
      <c r="V257" s="197"/>
      <c r="W257" s="197"/>
      <c r="X257" s="197"/>
      <c r="Y257" s="197"/>
      <c r="Z257" s="197"/>
      <c r="AA257" s="197"/>
      <c r="AB257" s="197"/>
      <c r="AC257" s="197"/>
      <c r="AD257" s="197"/>
      <c r="AE257" s="197"/>
      <c r="AF257" s="197"/>
      <c r="AG257" s="197"/>
      <c r="AH257" s="197"/>
    </row>
    <row r="258" spans="1:34" hidden="1">
      <c r="A258" s="396"/>
      <c r="B258" s="605"/>
      <c r="C258" s="481" t="s">
        <v>320</v>
      </c>
      <c r="D258" s="388" t="s">
        <v>109</v>
      </c>
      <c r="E258" s="483">
        <f>ROUND(E248*0.9+E253*0.9,2)</f>
        <v>0.61</v>
      </c>
      <c r="F258" s="475">
        <f>Lead!T174</f>
        <v>0</v>
      </c>
      <c r="G258" s="475">
        <v>0</v>
      </c>
      <c r="H258" s="384"/>
      <c r="I258" s="483">
        <f>ROUND(I248*0.9+I253*0.9,2)</f>
        <v>0.98</v>
      </c>
      <c r="J258" s="483"/>
      <c r="K258" s="483">
        <f>ROUND(K248*0.9+K253*0.9,2)</f>
        <v>1.02</v>
      </c>
      <c r="L258" s="384"/>
      <c r="M258" s="483">
        <f>ROUND(M248*0.9+M253*0.9,2)</f>
        <v>1.06</v>
      </c>
      <c r="N258" s="384"/>
      <c r="O258" s="483"/>
      <c r="P258" s="384"/>
      <c r="Q258" s="483"/>
      <c r="R258" s="657"/>
      <c r="S258" s="657"/>
      <c r="T258" s="657"/>
      <c r="U258" s="657"/>
      <c r="V258" s="197"/>
      <c r="W258" s="197"/>
      <c r="X258" s="197"/>
      <c r="Y258" s="197"/>
      <c r="Z258" s="197"/>
      <c r="AA258" s="197"/>
      <c r="AB258" s="197"/>
      <c r="AC258" s="197"/>
      <c r="AD258" s="197"/>
      <c r="AE258" s="197"/>
      <c r="AF258" s="197"/>
      <c r="AG258" s="197"/>
      <c r="AH258" s="197"/>
    </row>
    <row r="259" spans="1:34" hidden="1">
      <c r="A259" s="396"/>
      <c r="B259" s="605"/>
      <c r="C259" s="481" t="s">
        <v>321</v>
      </c>
      <c r="D259" s="388" t="s">
        <v>109</v>
      </c>
      <c r="E259" s="483">
        <f>ROUND((E249+E250)*0.2+(E251*0.015+E252*0.021)+(E248+E253)*0.45,2)</f>
        <v>0.82</v>
      </c>
      <c r="F259" s="475">
        <f>Lead!T167</f>
        <v>0</v>
      </c>
      <c r="G259" s="475">
        <v>0</v>
      </c>
      <c r="H259" s="384"/>
      <c r="I259" s="483">
        <f>ROUND((I249+I250)*0.2+(I251*0.015+I252*0.021)+(I248+I253)*0.45,2)</f>
        <v>0.94</v>
      </c>
      <c r="J259" s="483"/>
      <c r="K259" s="483">
        <f>ROUND((K249+K250)*0.2+(K251*0.015+K252*0.021)+(K248+K253)*0.45,2)</f>
        <v>0.95</v>
      </c>
      <c r="L259" s="384"/>
      <c r="M259" s="483">
        <f>ROUND((M249+M250)*0.2+(M251*0.015+M252*0.021)+(M248+M253)*0.45,2)</f>
        <v>0.95</v>
      </c>
      <c r="N259" s="384"/>
      <c r="O259" s="483"/>
      <c r="P259" s="384"/>
      <c r="Q259" s="483"/>
      <c r="R259" s="247"/>
      <c r="S259" s="247"/>
      <c r="T259" s="247"/>
      <c r="U259" s="247"/>
      <c r="V259" s="157"/>
      <c r="W259" s="157"/>
      <c r="X259" s="157"/>
      <c r="Y259" s="157"/>
      <c r="Z259" s="157"/>
      <c r="AA259" s="157"/>
      <c r="AB259" s="157"/>
      <c r="AC259" s="157"/>
      <c r="AD259" s="157"/>
      <c r="AE259" s="157"/>
      <c r="AF259" s="157"/>
      <c r="AG259" s="157"/>
      <c r="AH259" s="157"/>
    </row>
    <row r="260" spans="1:34" hidden="1">
      <c r="A260" s="396"/>
      <c r="B260" s="605"/>
      <c r="C260" s="481" t="s">
        <v>273</v>
      </c>
      <c r="D260" s="388"/>
      <c r="E260" s="387"/>
      <c r="F260" s="475" t="s">
        <v>154</v>
      </c>
      <c r="G260" s="482">
        <f>SUM(G255:G259)</f>
        <v>18662.52</v>
      </c>
      <c r="H260" s="384"/>
      <c r="I260" s="387"/>
      <c r="J260" s="387"/>
      <c r="K260" s="387"/>
      <c r="L260" s="384"/>
      <c r="M260" s="387"/>
      <c r="N260" s="384"/>
      <c r="O260" s="387"/>
      <c r="P260" s="384"/>
      <c r="Q260" s="387"/>
      <c r="R260" s="540"/>
      <c r="S260" s="540"/>
      <c r="T260" s="540"/>
      <c r="U260" s="540"/>
    </row>
    <row r="261" spans="1:34" hidden="1">
      <c r="A261" s="396"/>
      <c r="B261" s="386"/>
      <c r="C261" s="481"/>
      <c r="D261" s="388"/>
      <c r="E261" s="387"/>
      <c r="F261" s="475"/>
      <c r="G261" s="482"/>
      <c r="H261" s="384"/>
      <c r="I261" s="387"/>
      <c r="J261" s="387"/>
      <c r="K261" s="387"/>
      <c r="L261" s="384"/>
      <c r="M261" s="387"/>
      <c r="N261" s="384"/>
      <c r="O261" s="387"/>
      <c r="P261" s="384"/>
      <c r="Q261" s="387"/>
      <c r="R261" s="540"/>
      <c r="S261" s="540"/>
      <c r="T261" s="540"/>
      <c r="U261" s="540"/>
    </row>
    <row r="262" spans="1:34" ht="204" hidden="1">
      <c r="A262" s="396"/>
      <c r="B262" s="386">
        <v>9</v>
      </c>
      <c r="C262" s="492" t="s">
        <v>1242</v>
      </c>
      <c r="D262" s="338"/>
      <c r="E262" s="399"/>
      <c r="F262" s="472"/>
      <c r="G262" s="414"/>
      <c r="H262" s="1600" t="s">
        <v>761</v>
      </c>
      <c r="I262" s="1601"/>
      <c r="J262" s="1600" t="s">
        <v>440</v>
      </c>
      <c r="K262" s="1601"/>
      <c r="L262" s="1600" t="s">
        <v>439</v>
      </c>
      <c r="M262" s="1604"/>
      <c r="N262" s="1600" t="s">
        <v>717</v>
      </c>
      <c r="O262" s="1601"/>
      <c r="P262" s="1600" t="s">
        <v>718</v>
      </c>
      <c r="Q262" s="1601"/>
      <c r="R262" s="1602" t="s">
        <v>759</v>
      </c>
      <c r="S262" s="1603"/>
      <c r="T262" s="1600" t="s">
        <v>760</v>
      </c>
      <c r="U262" s="1601"/>
      <c r="V262" s="966"/>
      <c r="W262" s="966"/>
      <c r="X262" s="966"/>
      <c r="Y262" s="966"/>
      <c r="Z262" s="966"/>
      <c r="AA262" s="966"/>
      <c r="AB262" s="966"/>
      <c r="AC262" s="966"/>
      <c r="AD262" s="966"/>
      <c r="AE262" s="966"/>
      <c r="AF262" s="966"/>
      <c r="AG262" s="966"/>
      <c r="AH262" s="966"/>
    </row>
    <row r="263" spans="1:34" hidden="1">
      <c r="A263" s="396"/>
      <c r="B263" s="386"/>
      <c r="C263" s="474" t="s">
        <v>857</v>
      </c>
      <c r="D263" s="338">
        <v>1.2</v>
      </c>
      <c r="E263" s="399" t="s">
        <v>862</v>
      </c>
      <c r="F263" s="472">
        <v>0.2</v>
      </c>
      <c r="G263" s="414"/>
      <c r="H263" s="603" t="s">
        <v>856</v>
      </c>
      <c r="I263" s="604">
        <v>0.24399999999999999</v>
      </c>
      <c r="J263" s="603" t="s">
        <v>856</v>
      </c>
      <c r="K263" s="604">
        <v>0.31</v>
      </c>
      <c r="L263" s="603" t="s">
        <v>856</v>
      </c>
      <c r="M263" s="604">
        <v>0.4</v>
      </c>
      <c r="N263" s="603" t="s">
        <v>856</v>
      </c>
      <c r="O263" s="604">
        <v>0.6</v>
      </c>
      <c r="P263" s="603" t="s">
        <v>856</v>
      </c>
      <c r="Q263" s="604">
        <v>0.77</v>
      </c>
      <c r="R263" s="603" t="s">
        <v>867</v>
      </c>
      <c r="S263" s="604">
        <v>0.99</v>
      </c>
      <c r="T263" s="603" t="s">
        <v>867</v>
      </c>
      <c r="U263" s="604">
        <v>1.23</v>
      </c>
      <c r="V263" s="967"/>
      <c r="W263" s="967"/>
      <c r="X263" s="967"/>
      <c r="Y263" s="967"/>
      <c r="Z263" s="967"/>
      <c r="AA263" s="967"/>
      <c r="AB263" s="967"/>
      <c r="AC263" s="967"/>
      <c r="AD263" s="967"/>
      <c r="AE263" s="967"/>
      <c r="AF263" s="967"/>
      <c r="AG263" s="967"/>
      <c r="AH263" s="967"/>
    </row>
    <row r="264" spans="1:34" hidden="1">
      <c r="A264" s="396"/>
      <c r="B264" s="386"/>
      <c r="C264" s="474" t="s">
        <v>858</v>
      </c>
      <c r="D264" s="338">
        <v>1</v>
      </c>
      <c r="E264" s="399" t="s">
        <v>859</v>
      </c>
      <c r="F264" s="472">
        <v>0.23</v>
      </c>
      <c r="G264" s="414"/>
      <c r="H264" s="603"/>
      <c r="I264" s="604"/>
      <c r="J264" s="603"/>
      <c r="K264" s="604"/>
      <c r="L264" s="603"/>
      <c r="M264" s="604"/>
      <c r="N264" s="603"/>
      <c r="O264" s="604"/>
      <c r="P264" s="603"/>
      <c r="Q264" s="604"/>
      <c r="R264" s="706"/>
      <c r="S264" s="707"/>
      <c r="T264" s="706"/>
      <c r="U264" s="707"/>
      <c r="V264" s="966"/>
      <c r="W264" s="966"/>
      <c r="X264" s="966"/>
      <c r="Y264" s="966"/>
      <c r="Z264" s="966"/>
      <c r="AA264" s="966"/>
      <c r="AB264" s="966"/>
      <c r="AC264" s="966"/>
      <c r="AD264" s="966"/>
      <c r="AE264" s="966"/>
      <c r="AF264" s="966"/>
      <c r="AG264" s="966"/>
      <c r="AH264" s="966"/>
    </row>
    <row r="265" spans="1:34" hidden="1">
      <c r="A265" s="396"/>
      <c r="B265" s="386"/>
      <c r="C265" s="474" t="s">
        <v>860</v>
      </c>
      <c r="D265" s="338">
        <v>0.5</v>
      </c>
      <c r="E265" s="399" t="s">
        <v>861</v>
      </c>
      <c r="F265" s="472">
        <v>0.23</v>
      </c>
      <c r="G265" s="414"/>
      <c r="H265" s="603"/>
      <c r="I265" s="604"/>
      <c r="J265" s="603"/>
      <c r="K265" s="604"/>
      <c r="L265" s="603"/>
      <c r="M265" s="604"/>
      <c r="N265" s="603"/>
      <c r="O265" s="604"/>
      <c r="P265" s="603"/>
      <c r="Q265" s="604"/>
      <c r="R265" s="706"/>
      <c r="S265" s="707"/>
      <c r="T265" s="706"/>
      <c r="U265" s="707"/>
      <c r="V265" s="966"/>
      <c r="W265" s="966"/>
      <c r="X265" s="966"/>
      <c r="Y265" s="966"/>
      <c r="Z265" s="966"/>
      <c r="AA265" s="966"/>
      <c r="AB265" s="966"/>
      <c r="AC265" s="966"/>
      <c r="AD265" s="966"/>
      <c r="AE265" s="966"/>
      <c r="AF265" s="966"/>
      <c r="AG265" s="966"/>
      <c r="AH265" s="966"/>
    </row>
    <row r="266" spans="1:34" hidden="1">
      <c r="A266" s="396"/>
      <c r="B266" s="386"/>
      <c r="C266" s="474" t="s">
        <v>865</v>
      </c>
      <c r="D266" s="338">
        <v>0.15</v>
      </c>
      <c r="E266" s="399" t="s">
        <v>866</v>
      </c>
      <c r="F266" s="472">
        <v>0.35</v>
      </c>
      <c r="G266" s="414"/>
      <c r="H266" s="603"/>
      <c r="I266" s="604"/>
      <c r="J266" s="603"/>
      <c r="K266" s="604"/>
      <c r="L266" s="603"/>
      <c r="M266" s="604"/>
      <c r="N266" s="603"/>
      <c r="O266" s="604"/>
      <c r="P266" s="603"/>
      <c r="Q266" s="604"/>
      <c r="R266" s="706"/>
      <c r="S266" s="707"/>
      <c r="T266" s="706"/>
      <c r="U266" s="707"/>
      <c r="V266" s="966"/>
      <c r="W266" s="966"/>
      <c r="X266" s="966"/>
      <c r="Y266" s="966"/>
      <c r="Z266" s="966"/>
      <c r="AA266" s="966"/>
      <c r="AB266" s="966"/>
      <c r="AC266" s="966"/>
      <c r="AD266" s="966"/>
      <c r="AE266" s="966"/>
      <c r="AF266" s="966"/>
      <c r="AG266" s="966"/>
      <c r="AH266" s="966"/>
    </row>
    <row r="267" spans="1:34" hidden="1">
      <c r="A267" s="396"/>
      <c r="B267" s="386"/>
      <c r="C267" s="474" t="s">
        <v>863</v>
      </c>
      <c r="D267" s="338">
        <v>0.56000000000000005</v>
      </c>
      <c r="E267" s="399"/>
      <c r="F267" s="472"/>
      <c r="G267" s="414"/>
      <c r="H267" s="603"/>
      <c r="I267" s="604"/>
      <c r="J267" s="603"/>
      <c r="K267" s="604"/>
      <c r="L267" s="603"/>
      <c r="M267" s="604"/>
      <c r="N267" s="603"/>
      <c r="O267" s="604"/>
      <c r="P267" s="603"/>
      <c r="Q267" s="604"/>
      <c r="R267" s="706"/>
      <c r="S267" s="707"/>
      <c r="T267" s="706"/>
      <c r="U267" s="707"/>
      <c r="V267" s="966"/>
      <c r="W267" s="966"/>
      <c r="X267" s="966"/>
      <c r="Y267" s="966"/>
      <c r="Z267" s="966"/>
      <c r="AA267" s="966"/>
      <c r="AB267" s="966"/>
      <c r="AC267" s="966"/>
      <c r="AD267" s="966"/>
      <c r="AE267" s="966"/>
      <c r="AF267" s="966"/>
      <c r="AG267" s="966"/>
      <c r="AH267" s="966"/>
    </row>
    <row r="268" spans="1:34" ht="25.5" hidden="1">
      <c r="A268" s="396"/>
      <c r="B268" s="386"/>
      <c r="C268" s="474" t="str">
        <f>CONCATENATE("CC in CM( 1:4:8) PI/4x(0.9+0.46+0.3)x0.15=",E268)</f>
        <v>CC in CM( 1:4:8) PI/4x(0.9+0.46+0.3)x0.15=0.76026542216873</v>
      </c>
      <c r="D268" s="338" t="s">
        <v>109</v>
      </c>
      <c r="E268" s="489">
        <f t="shared" ref="E268:E273" si="31">S268</f>
        <v>0.76026542216872983</v>
      </c>
      <c r="F268" s="472">
        <f>F248</f>
        <v>5383.2900000000009</v>
      </c>
      <c r="G268" s="477">
        <f t="shared" ref="G268:G274" si="32">+ROUND(E268*F268,2)</f>
        <v>4092.73</v>
      </c>
      <c r="H268" s="477"/>
      <c r="I268" s="477">
        <f>(PI()/4)*(($D$155+(2*$F$158))+0.3)^2*$F$155</f>
        <v>0.76026542216872983</v>
      </c>
      <c r="J268" s="477"/>
      <c r="K268" s="477">
        <f>(PI()/4)*(($D$155+(2*$F$158))+0.3)^2*$F$155</f>
        <v>0.76026542216872983</v>
      </c>
      <c r="L268" s="477"/>
      <c r="M268" s="477">
        <f>(PI()/4)*(($D$155+(2*$F$158))+0.3)^2*$F$155</f>
        <v>0.76026542216872983</v>
      </c>
      <c r="N268" s="477"/>
      <c r="O268" s="477">
        <f>(PI()/4)*(($D$155+(2*$F$158))+0.3)^2*$F$155</f>
        <v>0.76026542216872983</v>
      </c>
      <c r="P268" s="477"/>
      <c r="Q268" s="477">
        <f>(PI()/4)*(($D$155+(2*$F$158))+0.3)^2*$F$155</f>
        <v>0.76026542216872983</v>
      </c>
      <c r="R268" s="477"/>
      <c r="S268" s="477">
        <f>(PI()/4)*(($D$155+(2*$F$158))+0.3)^2*$F$155</f>
        <v>0.76026542216872983</v>
      </c>
      <c r="T268" s="477"/>
      <c r="U268" s="477">
        <f>(PI()/4)*(($D$155+(2*$F$158))+0.3)^2*$F$155</f>
        <v>0.76026542216872983</v>
      </c>
      <c r="V268" s="447"/>
      <c r="W268" s="447"/>
      <c r="X268" s="447"/>
      <c r="Y268" s="447"/>
      <c r="Z268" s="447"/>
      <c r="AA268" s="447"/>
      <c r="AB268" s="447"/>
      <c r="AC268" s="447"/>
      <c r="AD268" s="447"/>
      <c r="AE268" s="447"/>
      <c r="AF268" s="447"/>
      <c r="AG268" s="447"/>
      <c r="AH268" s="447"/>
    </row>
    <row r="269" spans="1:34" ht="51" hidden="1">
      <c r="A269" s="396"/>
      <c r="B269" s="386"/>
      <c r="C269" s="474" t="str">
        <f>CONCATENATE("2nd Class Brick Masonory in cm (1: 6) Prop using 2nd class bricks for Uniform Section( PIx1.13x0.23x0.4)-(PI/4*0.23*0.23*.23*2)=",E269)</f>
        <v>2nd Class Brick Masonory in cm (1: 6) Prop using 2nd class bricks for Uniform Section( PIx1.13x0.23x0.4)-(PI/4*0.23*0.23*.23*2)=0.390282014068711</v>
      </c>
      <c r="D269" s="338" t="s">
        <v>109</v>
      </c>
      <c r="E269" s="489">
        <f t="shared" si="31"/>
        <v>0.39028201406871077</v>
      </c>
      <c r="F269" s="472">
        <f>F249</f>
        <v>8504.4699999999993</v>
      </c>
      <c r="G269" s="477">
        <f t="shared" si="32"/>
        <v>3319.14</v>
      </c>
      <c r="H269" s="479">
        <f>ROUND(PI()/4*I263*I263*(($D$158/I263)*$F$158+(((I263-$D$158)/I263)*$F$157))*2,3)</f>
        <v>2.8000000000000001E-2</v>
      </c>
      <c r="I269" s="479">
        <f>(PI()*($D$155+$F$158)*$F$158*$D$158)+(PI()*($D$155+$F$157)*$F$157*$D$157)-H269</f>
        <v>0.74428201406871075</v>
      </c>
      <c r="J269" s="479">
        <f>ROUND(PI()/4*K263*K263*(($D$158/K263)*$F$158+(((K263-$D$158)/K263)*$F$157))*2,3)</f>
        <v>4.2999999999999997E-2</v>
      </c>
      <c r="K269" s="479">
        <f>(PI()*($D$155+$F$158)*$F$158*$D$158)+(PI()*($D$155+$F$157)*$F$157*$D$157)-J269</f>
        <v>0.72928201406871074</v>
      </c>
      <c r="L269" s="479">
        <f>ROUND(PI()/4*M263*M263*(($D$158/M263)*$F$158+(((M263-$D$158)/M263)*$F$157))*2,3)</f>
        <v>6.9000000000000006E-2</v>
      </c>
      <c r="M269" s="479">
        <f>(PI()*($D$155+$F$158)*$F$158*$D$158)+(PI()*($D$155+$F$157)*$F$157*$D$157)-L269</f>
        <v>0.70328201406871083</v>
      </c>
      <c r="N269" s="479">
        <f>ROUND(PI()/4*O263*O263*(($D$158/O263)*$F$158+(((O263-$D$158)/O263)*$F$157))*2,3)</f>
        <v>0.14699999999999999</v>
      </c>
      <c r="O269" s="479">
        <f>(PI()*($D$155+$F$158)*$F$158*$D$158)+(PI()*($D$155+$F$157)*$F$157*$D$157)-N269</f>
        <v>0.62528201406871076</v>
      </c>
      <c r="P269" s="479">
        <f>ROUND(PI()/4*Q263*Q263*(($D$158/Q263)*$F$158+(((Q263-$D$158)/Q263)*$F$157))*2,3)</f>
        <v>0.23599999999999999</v>
      </c>
      <c r="Q269" s="479">
        <f>(PI()*($D$155+$F$158)*$F$158*$D$158)+(PI()*($D$155+$F$157)*$F$157*$D$157)-P269</f>
        <v>0.53628201406871079</v>
      </c>
      <c r="R269" s="479">
        <f>ROUND(PI()/4*S263*S263*(($D$158/S263)*$F$158+(((S263-$D$158)/S263)*$F$157))*2,3)</f>
        <v>0.38200000000000001</v>
      </c>
      <c r="S269" s="479">
        <f>(PI()*($D$155+$F$158)*$F$158*$D$158)+(PI()*($D$155+$F$157)*$F$157*$D$157)-R269</f>
        <v>0.39028201406871077</v>
      </c>
      <c r="T269" s="479">
        <f>ROUND(PI()/4*U263*U263*(($D$158/U263)*$F$158+(((U263-$D$158)/U263)*$F$157))*2,3)</f>
        <v>0.58099999999999996</v>
      </c>
      <c r="U269" s="479">
        <f>(PI()*($D$155+$F$158)*$F$158*$D$158)+(PI()*($D$155+$F$157)*$F$157*$D$157)-T269</f>
        <v>0.19128201406871082</v>
      </c>
      <c r="V269" s="465"/>
      <c r="W269" s="465"/>
      <c r="X269" s="465"/>
      <c r="Y269" s="465"/>
      <c r="Z269" s="465"/>
      <c r="AA269" s="465"/>
      <c r="AB269" s="465"/>
      <c r="AC269" s="465"/>
      <c r="AD269" s="465"/>
      <c r="AE269" s="465"/>
      <c r="AF269" s="465"/>
      <c r="AG269" s="465"/>
      <c r="AH269" s="465"/>
    </row>
    <row r="270" spans="1:34" ht="51" hidden="1">
      <c r="A270" s="396"/>
      <c r="B270" s="386"/>
      <c r="C270" s="474" t="str">
        <f>CONCATENATE("2nd Class Brick Masonory work  in cm (1: 6) )Prop using 2nd class bricks for Carbelling Portion Pix(1.13+0.78)/2x0.23x(0.6-.25)=",E270)</f>
        <v>2nd Class Brick Masonory work  in cm (1: 6) )Prop using 2nd class bricks for Carbelling Portion Pix(1.13+0.78)/2x0.23x(0.6-.25)=0.661690098680716</v>
      </c>
      <c r="D270" s="338" t="s">
        <v>109</v>
      </c>
      <c r="E270" s="489">
        <f t="shared" si="31"/>
        <v>0.66169009868071627</v>
      </c>
      <c r="F270" s="472">
        <f>F269</f>
        <v>8504.4699999999993</v>
      </c>
      <c r="G270" s="477">
        <f t="shared" si="32"/>
        <v>5627.32</v>
      </c>
      <c r="H270" s="389"/>
      <c r="I270" s="389">
        <f>(PI()*(($D$155+$F$156+$D$159+$F$156)/2)*$F$156)*($D$156-0.25)</f>
        <v>0.60153645334610573</v>
      </c>
      <c r="J270" s="389"/>
      <c r="K270" s="389">
        <f>(PI()*(($D$155+$F$156+$D$159+$F$156)/2)*$F$156)*($D$156-0.25)</f>
        <v>0.60153645334610573</v>
      </c>
      <c r="L270" s="493"/>
      <c r="M270" s="389">
        <f>(PI()*(($D$155+$F$156+$D$159+$F$156)/2)*$F$156)*($D$156-0.25)</f>
        <v>0.60153645334610573</v>
      </c>
      <c r="N270" s="389"/>
      <c r="O270" s="389">
        <f>(PI()*(($D$155+$F$156+$D$159+$F$156)/2)*$F$156)*($D$156-0.25)</f>
        <v>0.60153645334610573</v>
      </c>
      <c r="P270" s="389"/>
      <c r="Q270" s="389">
        <f>(PI()*(($D$155+$F$156+$D$159+$F$156)/2)*$F$156)*($D$156-0.25)</f>
        <v>0.60153645334610573</v>
      </c>
      <c r="R270" s="493"/>
      <c r="S270" s="389">
        <f>(PI()*(($D$155+$F$156+$D$159+$F$156)/2)*$F$156)*($D$156-0.175)</f>
        <v>0.66169009868071627</v>
      </c>
      <c r="T270" s="493"/>
      <c r="U270" s="389">
        <f>(PI()*(($D$155+$F$156+$D$159+$F$156)/2)*$F$156)*($D$156-0.25)</f>
        <v>0.60153645334610573</v>
      </c>
      <c r="V270" s="165"/>
      <c r="W270" s="165"/>
      <c r="X270" s="165"/>
      <c r="Y270" s="165"/>
      <c r="Z270" s="165"/>
      <c r="AA270" s="165"/>
      <c r="AB270" s="165"/>
      <c r="AC270" s="165"/>
      <c r="AD270" s="165"/>
      <c r="AE270" s="165"/>
      <c r="AF270" s="165"/>
      <c r="AG270" s="165"/>
      <c r="AH270" s="165"/>
    </row>
    <row r="271" spans="1:34" ht="51" hidden="1">
      <c r="A271" s="396"/>
      <c r="B271" s="386"/>
      <c r="C271" s="970" t="str">
        <f>CONCATENATE("External Plastering in CM(1:4) of 12 mm thick vertical portion Pix(.9+.23*2)x0.40 and sloped portion Pix(1.36+1.01)/2x(0.6-.25)  Dedcut Pipe Portion 2xPI()/4x0.23x0.23=",E271)</f>
        <v>External Plastering in CM(1:4) of 12 mm thick vertical portion Pix(.9+.23*2)x0.40 and sloped portion Pix(1.36+1.01)/2x(0.6-.25)  Dedcut Pipe Portion 2xPI()/4x0.23x0.23=5.43590648729613</v>
      </c>
      <c r="D271" s="338" t="s">
        <v>224</v>
      </c>
      <c r="E271" s="489">
        <f t="shared" si="31"/>
        <v>5.4359064872961342</v>
      </c>
      <c r="F271" s="472">
        <f>F251</f>
        <v>170.45499999999998</v>
      </c>
      <c r="G271" s="477">
        <f t="shared" si="32"/>
        <v>926.58</v>
      </c>
      <c r="H271" s="389">
        <f>ROUND(PI()/4*I263*I263*2,3)</f>
        <v>9.4E-2</v>
      </c>
      <c r="I271" s="389">
        <f>(PI()*($D$155+2*($F$158))*($D$158))+(PI()*($D$155+(2*$F$157))*$D$157)+(PI()*(($D$155+2*($F$156)+$D$159+2*($F$156))/2)*($D$156-0.25))-H271</f>
        <v>6.5661764256103607</v>
      </c>
      <c r="J271" s="389">
        <f>ROUND(PI()/4*K263*K263*2,3)</f>
        <v>0.151</v>
      </c>
      <c r="K271" s="389">
        <f>(PI()*($D$155+2*($F$158))*($D$158))+(PI()*($D$155+(2*$F$157))*$D$157)+(PI()*(($D$155+2*($F$156)+$D$159+2*($F$156))/2)*($D$156-0.25))-J271</f>
        <v>6.5091764256103612</v>
      </c>
      <c r="L271" s="389">
        <f>ROUND(PI()/4*M263*M263*2,3)</f>
        <v>0.251</v>
      </c>
      <c r="M271" s="389">
        <f>(PI()*($D$155+2*($F$158))*($D$158))+(PI()*($D$155+(2*$F$157))*$D$157)+(PI()*(($D$155+2*($F$156)+$D$159+2*($F$156))/2)*($D$156-0.25))-L271</f>
        <v>6.4091764256103607</v>
      </c>
      <c r="N271" s="389">
        <f>ROUND(PI()/4*O263*O263*2,3)</f>
        <v>0.56499999999999995</v>
      </c>
      <c r="O271" s="389">
        <f>(PI()*($D$155+2*($F$158))*($D$158))+(PI()*($D$155+(2*$F$157))*$D$157)+(PI()*(($D$155+2*($F$156)+$D$159+2*($F$156))/2)*($D$156-0.25))-N271</f>
        <v>6.0951764256103615</v>
      </c>
      <c r="P271" s="389">
        <f>ROUND(PI()/4*Q263*Q263*2,3)</f>
        <v>0.93100000000000005</v>
      </c>
      <c r="Q271" s="389">
        <f>(PI()*($D$155+2*($F$158))*($D$158))+(PI()*($D$155+(2*$F$157))*$D$157)+(PI()*(($D$155+2*($F$156)+$D$159+2*($F$156))/2)*($D$156-0.25))-P271</f>
        <v>5.729176425610361</v>
      </c>
      <c r="R271" s="389">
        <f>ROUND(PI()/4*S263*S263*2,3)</f>
        <v>1.54</v>
      </c>
      <c r="S271" s="389">
        <f>(PI()*($D$155+2*($F$158))*($D$158))+(PI()*($D$155+(2*$F$157))*$D$157)+(PI()*(($D$155+2*($F$156)+$D$159+2*($F$156))/2)*($D$156-0.175))-R271</f>
        <v>5.4359064872961342</v>
      </c>
      <c r="T271" s="389">
        <f>ROUND(PI()/4*U263*U263*2,3)</f>
        <v>2.3759999999999999</v>
      </c>
      <c r="U271" s="389">
        <f>(PI()*($D$155+2*($F$158))*($D$158))+(PI()*($D$155+(2*$F$157))*$D$157)+(PI()*(($D$155+2*($F$156)+$D$159+2*($F$156))/2)*($D$156-0.25))-T271</f>
        <v>4.2841764256103616</v>
      </c>
      <c r="V271" s="165"/>
      <c r="W271" s="165"/>
      <c r="X271" s="165"/>
      <c r="Y271" s="165"/>
      <c r="Z271" s="165"/>
      <c r="AA271" s="165"/>
      <c r="AB271" s="165"/>
      <c r="AC271" s="165"/>
      <c r="AD271" s="165"/>
      <c r="AE271" s="165"/>
      <c r="AF271" s="165"/>
      <c r="AG271" s="165"/>
      <c r="AH271" s="165"/>
    </row>
    <row r="272" spans="1:34" ht="51" hidden="1">
      <c r="A272" s="396"/>
      <c r="B272" s="386"/>
      <c r="C272" s="474" t="str">
        <f>CONCATENATE("Internal Plastering in CM(1:4) of 20 mm thick uniform portion PIx0.90x0.4 and Sloped Portion Pix(0.90+0.56)/2x(.6-.25)  Dedcut Pipe Portion 2xPI()/4x0.25x0.25=",E272)</f>
        <v>Internal Plastering in CM(1:4) of 20 mm thick uniform portion PIx0.90x0.4 and Sloped Portion Pix(0.90+0.56)/2x(.6-.25)  Dedcut Pipe Portion 2xPI()/4x0.25x0.25=0.999238536306228</v>
      </c>
      <c r="D272" s="338" t="s">
        <v>224</v>
      </c>
      <c r="E272" s="399">
        <f t="shared" si="31"/>
        <v>0.99923853630622794</v>
      </c>
      <c r="F272" s="472">
        <f>F252</f>
        <v>259.48599999999999</v>
      </c>
      <c r="G272" s="477">
        <f t="shared" si="32"/>
        <v>259.29000000000002</v>
      </c>
      <c r="H272" s="389">
        <f>ROUND(PI()*$D$155*I263,3)</f>
        <v>0.92</v>
      </c>
      <c r="I272" s="490">
        <f>((PI()*$D$155*$D$158)+(PI()*($D$155)*$D$157)+(PI()*($D$155+$D$159)/2*($D$156-0.175)))-H272</f>
        <v>3.8112385363062282</v>
      </c>
      <c r="J272" s="389">
        <f>ROUND(PI()*$D$155*K263,3)</f>
        <v>1.169</v>
      </c>
      <c r="K272" s="490">
        <f>((PI()*$D$155*$D$158)+(PI()*($D$155)*$D$157)+(PI()*($D$155+$D$159)/2*($D$156-0.175)))-J272</f>
        <v>3.5622385363062281</v>
      </c>
      <c r="L272" s="389">
        <f>ROUND(PI()*$D$155*M263,3)</f>
        <v>1.508</v>
      </c>
      <c r="M272" s="490">
        <f>((PI()*$D$155*$D$158)+(PI()*($D$155)*$D$157)+(PI()*($D$155+$D$159)/2*($D$156-0.175)))-L272</f>
        <v>3.2232385363062281</v>
      </c>
      <c r="N272" s="389">
        <f>ROUND(PI()*$D$155*O263,3)</f>
        <v>2.262</v>
      </c>
      <c r="O272" s="490">
        <f>((PI()*$D$155*$D$158)+(PI()*($D$155)*$D$157)+(PI()*($D$155+$D$159)/2*($D$156-0.175)))-N272</f>
        <v>2.4692385363062281</v>
      </c>
      <c r="P272" s="389">
        <f>ROUND(PI()*$D$155*Q263,3)</f>
        <v>2.903</v>
      </c>
      <c r="Q272" s="490">
        <f>((PI()*$D$155*$D$158)+(PI()*($D$155)*$D$157)+(PI()*($D$155+$D$159)/2*($D$156-0.175)))-P272</f>
        <v>1.8282385363062281</v>
      </c>
      <c r="R272" s="389">
        <f>ROUND(PI()*$D$155*S263,3)</f>
        <v>3.7320000000000002</v>
      </c>
      <c r="S272" s="490">
        <f>((PI()*$D$155*$D$158)+(PI()*($D$155)*$D$157)+(PI()*($D$155+$D$159)/2*($D$156-0.175)))-R272</f>
        <v>0.99923853630622794</v>
      </c>
      <c r="T272" s="389">
        <f>ROUND(PI()*$D$155*U263,3)</f>
        <v>4.6369999999999996</v>
      </c>
      <c r="U272" s="490">
        <f>((PI()*$D$155*$D$158)+(PI()*($D$155)*$D$157)+(PI()*($D$155+$D$159)/2*($D$156-0.175)))-T272</f>
        <v>9.4238536306228582E-2</v>
      </c>
      <c r="V272" s="467"/>
      <c r="W272" s="467"/>
      <c r="X272" s="467"/>
      <c r="Y272" s="467"/>
      <c r="Z272" s="467"/>
      <c r="AA272" s="467"/>
      <c r="AB272" s="467"/>
      <c r="AC272" s="467"/>
      <c r="AD272" s="467"/>
      <c r="AE272" s="467"/>
      <c r="AF272" s="467"/>
      <c r="AG272" s="467"/>
      <c r="AH272" s="467"/>
    </row>
    <row r="273" spans="1:34" ht="51" hidden="1">
      <c r="A273" s="396"/>
      <c r="B273" s="386"/>
      <c r="C273" s="473" t="str">
        <f>CONCATENATE("CC Channeling with (1:2.5:5) Prop  PIx0.9x0.9x0.30/4 = over Manhole alround for Cover PIx0.81x0.15x0.10= deduct Channel 0.90x0.25x0.25=",E273)</f>
        <v>CC Channeling with (1:2.5:5) Prop  PIx0.9x0.9x0.30/4 = over Manhole alround for Cover PIx0.81x0.15x0.10= deduct Channel 0.90x0.25x0.25=0.262100452381192</v>
      </c>
      <c r="D273" s="338" t="s">
        <v>109</v>
      </c>
      <c r="E273" s="489">
        <f t="shared" si="31"/>
        <v>0.26210045238119239</v>
      </c>
      <c r="F273" s="472">
        <f>F253</f>
        <v>6018.18</v>
      </c>
      <c r="G273" s="477">
        <f t="shared" si="32"/>
        <v>1577.37</v>
      </c>
      <c r="H273" s="389">
        <f>ROUND($D$155*(PI()/4)*I263*I263,3)</f>
        <v>5.6000000000000001E-2</v>
      </c>
      <c r="I273" s="389">
        <f>(((PI()*$D$155^2/4)*I263)+(PI()*($D$155+$F$156)*$F$156*0.075)+(PI()*(0.71+0.08)*0.08*0.175))-H273</f>
        <v>0.33219875022245671</v>
      </c>
      <c r="J273" s="389">
        <f>ROUND($D$155*(PI()/4)*K263*K263,3)</f>
        <v>9.0999999999999998E-2</v>
      </c>
      <c r="K273" s="389">
        <f>(((PI()*$D$155^2/4)*K263)+(PI()*($D$155+$F$156)*$F$156*0.075)+(PI()*(0.71+0.08)*0.08*0.175))-J273</f>
        <v>0.37184299167175017</v>
      </c>
      <c r="L273" s="389">
        <f>ROUND($D$155*(PI()/4)*M263*M263,3)</f>
        <v>0.151</v>
      </c>
      <c r="M273" s="389">
        <f>(((PI()*$D$155^2/4)*M263)+(PI()*($D$155+$F$156)*$F$156*0.075)+(PI()*(0.71+0.08)*0.08*0.175))-L273</f>
        <v>0.41363059364805954</v>
      </c>
      <c r="N273" s="389">
        <f>ROUND($D$155*(PI()/4)*O263*O263,3)</f>
        <v>0.33900000000000002</v>
      </c>
      <c r="O273" s="389">
        <f>(((PI()*$D$155^2/4)*O263)+(PI()*($D$155+$F$156)*$F$156*0.075)+(PI()*(0.71+0.08)*0.08*0.175))-N273</f>
        <v>0.45182526470652457</v>
      </c>
      <c r="P273" s="389">
        <f>ROUND($D$155*(PI()/4)*Q263*Q263,3)</f>
        <v>0.55900000000000005</v>
      </c>
      <c r="Q273" s="389">
        <f>(((PI()*$D$155^2/4)*Q263)+(PI()*($D$155+$F$156)*$F$156*0.075)+(PI()*(0.71+0.08)*0.08*0.175))-P273</f>
        <v>0.42409073510621997</v>
      </c>
      <c r="R273" s="389">
        <f>ROUND($D$155*(PI()/4)*S263*S263,3)</f>
        <v>0.92400000000000004</v>
      </c>
      <c r="S273" s="389">
        <f>(((PI()*$D$155^2/4)*S263)+(PI()*($D$159+$F$156)*$F$156*0.075)+(PI()*(0.71+2*0.075+0.08)*0.08*0.1))-R273</f>
        <v>0.26210045238119239</v>
      </c>
      <c r="T273" s="389">
        <f>ROUND($D$155*(PI()/4)*U263*U263,3)</f>
        <v>1.4259999999999999</v>
      </c>
      <c r="U273" s="389">
        <f>(((PI()*$D$155^2/4)*U263)+(PI()*($D$155+$F$156)*$F$156*0.075)+(PI()*(0.71+0.08)*0.08*0.175))-T273</f>
        <v>7.733847854068987E-2</v>
      </c>
      <c r="V273" s="165"/>
      <c r="W273" s="165"/>
      <c r="X273" s="165"/>
      <c r="Y273" s="165"/>
      <c r="Z273" s="165"/>
      <c r="AA273" s="165"/>
      <c r="AB273" s="165"/>
      <c r="AC273" s="165"/>
      <c r="AD273" s="165"/>
      <c r="AE273" s="165"/>
      <c r="AF273" s="165"/>
      <c r="AG273" s="165"/>
      <c r="AH273" s="165"/>
    </row>
    <row r="274" spans="1:34" hidden="1">
      <c r="A274" s="396"/>
      <c r="B274" s="386"/>
      <c r="C274" s="473" t="s">
        <v>225</v>
      </c>
      <c r="D274" s="338" t="s">
        <v>226</v>
      </c>
      <c r="E274" s="399">
        <v>3</v>
      </c>
      <c r="F274" s="472">
        <f>F254</f>
        <v>81</v>
      </c>
      <c r="G274" s="477">
        <f t="shared" si="32"/>
        <v>243</v>
      </c>
      <c r="H274" s="477"/>
      <c r="I274" s="389"/>
      <c r="J274" s="389"/>
      <c r="K274" s="389"/>
      <c r="L274" s="389"/>
      <c r="M274" s="389"/>
      <c r="N274" s="389"/>
      <c r="O274" s="389"/>
      <c r="P274" s="389"/>
      <c r="Q274" s="389"/>
      <c r="R274" s="540"/>
      <c r="S274" s="540"/>
      <c r="T274" s="540"/>
      <c r="U274" s="540"/>
    </row>
    <row r="275" spans="1:34" hidden="1">
      <c r="A275" s="396"/>
      <c r="B275" s="386"/>
      <c r="C275" s="480" t="s">
        <v>106</v>
      </c>
      <c r="D275" s="338" t="s">
        <v>226</v>
      </c>
      <c r="E275" s="399"/>
      <c r="F275" s="472" t="s">
        <v>154</v>
      </c>
      <c r="G275" s="414">
        <f>SUM(G268:G274)</f>
        <v>16045.43</v>
      </c>
      <c r="H275" s="414"/>
      <c r="I275" s="389"/>
      <c r="J275" s="389"/>
      <c r="K275" s="389"/>
      <c r="L275" s="389"/>
      <c r="M275" s="389"/>
      <c r="N275" s="389"/>
      <c r="O275" s="389"/>
      <c r="P275" s="389"/>
      <c r="Q275" s="389"/>
      <c r="R275" s="540"/>
      <c r="S275" s="540"/>
      <c r="T275" s="540"/>
      <c r="U275" s="540"/>
    </row>
    <row r="276" spans="1:34" hidden="1">
      <c r="A276" s="396"/>
      <c r="B276" s="386"/>
      <c r="C276" s="480"/>
      <c r="D276" s="397"/>
      <c r="E276" s="399"/>
      <c r="F276" s="472"/>
      <c r="G276" s="414"/>
      <c r="H276" s="475"/>
      <c r="I276" s="389"/>
      <c r="J276" s="389"/>
      <c r="K276" s="389"/>
      <c r="L276" s="389"/>
      <c r="M276" s="389"/>
      <c r="N276" s="389"/>
      <c r="O276" s="389"/>
      <c r="P276" s="389"/>
      <c r="Q276" s="389"/>
      <c r="R276" s="657"/>
      <c r="S276" s="657"/>
      <c r="T276" s="657"/>
      <c r="U276" s="657"/>
      <c r="V276" s="197"/>
      <c r="W276" s="197"/>
      <c r="X276" s="197"/>
      <c r="Y276" s="197"/>
      <c r="Z276" s="197"/>
      <c r="AA276" s="197"/>
      <c r="AB276" s="197"/>
      <c r="AC276" s="197"/>
      <c r="AD276" s="197"/>
      <c r="AE276" s="197"/>
      <c r="AF276" s="197"/>
      <c r="AG276" s="197"/>
      <c r="AH276" s="197"/>
    </row>
    <row r="277" spans="1:34" hidden="1">
      <c r="A277" s="396"/>
      <c r="B277" s="386"/>
      <c r="C277" s="481" t="s">
        <v>319</v>
      </c>
      <c r="D277" s="388"/>
      <c r="E277" s="387"/>
      <c r="F277" s="475"/>
      <c r="G277" s="482"/>
      <c r="H277" s="475"/>
      <c r="I277" s="384"/>
      <c r="J277" s="384"/>
      <c r="K277" s="384"/>
      <c r="L277" s="384"/>
      <c r="M277" s="384"/>
      <c r="N277" s="384"/>
      <c r="O277" s="384"/>
      <c r="P277" s="384"/>
      <c r="Q277" s="384"/>
      <c r="R277" s="657"/>
      <c r="S277" s="657"/>
      <c r="T277" s="657"/>
      <c r="U277" s="657"/>
      <c r="V277" s="197"/>
      <c r="W277" s="197"/>
      <c r="X277" s="197"/>
      <c r="Y277" s="197"/>
      <c r="Z277" s="197"/>
      <c r="AA277" s="197"/>
      <c r="AB277" s="197"/>
      <c r="AC277" s="197"/>
      <c r="AD277" s="197"/>
      <c r="AE277" s="197"/>
      <c r="AF277" s="197"/>
      <c r="AG277" s="197"/>
      <c r="AH277" s="197"/>
    </row>
    <row r="278" spans="1:34" hidden="1">
      <c r="A278" s="396"/>
      <c r="B278" s="386"/>
      <c r="C278" s="481" t="s">
        <v>320</v>
      </c>
      <c r="D278" s="388" t="s">
        <v>109</v>
      </c>
      <c r="E278" s="483">
        <f>ROUND(E268*0.9+E273*0.9,2)</f>
        <v>0.92</v>
      </c>
      <c r="F278" s="475">
        <f>Lead!T194</f>
        <v>0</v>
      </c>
      <c r="G278" s="475">
        <v>0</v>
      </c>
      <c r="H278" s="384"/>
      <c r="I278" s="483">
        <f>ROUND(I268*0.9+I273*0.9,2)</f>
        <v>0.98</v>
      </c>
      <c r="J278" s="483"/>
      <c r="K278" s="483">
        <f>ROUND(K268*0.9+K273*0.9,2)</f>
        <v>1.02</v>
      </c>
      <c r="L278" s="384"/>
      <c r="M278" s="483">
        <f>ROUND(M268*0.9+M273*0.9,2)</f>
        <v>1.06</v>
      </c>
      <c r="N278" s="384"/>
      <c r="O278" s="483"/>
      <c r="P278" s="384"/>
      <c r="Q278" s="483"/>
      <c r="R278" s="657"/>
      <c r="S278" s="657"/>
      <c r="T278" s="657"/>
      <c r="U278" s="657"/>
      <c r="V278" s="197"/>
      <c r="W278" s="197"/>
      <c r="X278" s="197"/>
      <c r="Y278" s="197"/>
      <c r="Z278" s="197"/>
      <c r="AA278" s="197"/>
      <c r="AB278" s="197"/>
      <c r="AC278" s="197"/>
      <c r="AD278" s="197"/>
      <c r="AE278" s="197"/>
      <c r="AF278" s="197"/>
      <c r="AG278" s="197"/>
      <c r="AH278" s="197"/>
    </row>
    <row r="279" spans="1:34" hidden="1">
      <c r="A279" s="396"/>
      <c r="B279" s="386"/>
      <c r="C279" s="481" t="s">
        <v>321</v>
      </c>
      <c r="D279" s="388" t="s">
        <v>109</v>
      </c>
      <c r="E279" s="483">
        <f>ROUND((E269+E270)*0.2+(E271*0.015+E272*0.021)+(E268+E273)*0.45,2)</f>
        <v>0.77</v>
      </c>
      <c r="F279" s="475">
        <f>Lead!T187</f>
        <v>0</v>
      </c>
      <c r="G279" s="475">
        <v>0</v>
      </c>
      <c r="H279" s="384"/>
      <c r="I279" s="483">
        <f>ROUND((I269+I270)*0.2+(I271*0.015+I272*0.021)+(I268+I273)*0.45,2)</f>
        <v>0.94</v>
      </c>
      <c r="J279" s="483"/>
      <c r="K279" s="483">
        <f>ROUND((K269+K270)*0.2+(K271*0.015+K272*0.021)+(K268+K273)*0.45,2)</f>
        <v>0.95</v>
      </c>
      <c r="L279" s="384"/>
      <c r="M279" s="483">
        <f>ROUND((M269+M270)*0.2+(M271*0.015+M272*0.021)+(M268+M273)*0.45,2)</f>
        <v>0.95</v>
      </c>
      <c r="N279" s="384"/>
      <c r="O279" s="483"/>
      <c r="P279" s="384"/>
      <c r="Q279" s="483"/>
      <c r="R279" s="247"/>
      <c r="S279" s="247"/>
      <c r="T279" s="247"/>
      <c r="U279" s="247"/>
      <c r="V279" s="157"/>
      <c r="W279" s="157"/>
      <c r="X279" s="157"/>
      <c r="Y279" s="157"/>
      <c r="Z279" s="157"/>
      <c r="AA279" s="157"/>
      <c r="AB279" s="157"/>
      <c r="AC279" s="157"/>
      <c r="AD279" s="157"/>
      <c r="AE279" s="157"/>
      <c r="AF279" s="157"/>
      <c r="AG279" s="157"/>
      <c r="AH279" s="157"/>
    </row>
    <row r="280" spans="1:34" hidden="1">
      <c r="A280" s="396"/>
      <c r="B280" s="386"/>
      <c r="C280" s="481" t="s">
        <v>273</v>
      </c>
      <c r="D280" s="388"/>
      <c r="E280" s="387"/>
      <c r="F280" s="475" t="s">
        <v>154</v>
      </c>
      <c r="G280" s="482">
        <f>SUM(G275:G279)</f>
        <v>16045.43</v>
      </c>
      <c r="H280" s="384"/>
      <c r="I280" s="387"/>
      <c r="J280" s="387"/>
      <c r="K280" s="387"/>
      <c r="L280" s="384"/>
      <c r="M280" s="387"/>
      <c r="N280" s="384"/>
      <c r="O280" s="387"/>
      <c r="P280" s="384"/>
      <c r="Q280" s="387"/>
      <c r="R280" s="540"/>
      <c r="S280" s="540"/>
      <c r="T280" s="540"/>
      <c r="U280" s="540"/>
    </row>
    <row r="281" spans="1:34" hidden="1">
      <c r="A281" s="396"/>
      <c r="B281" s="386"/>
      <c r="C281" s="481"/>
      <c r="D281" s="388"/>
      <c r="E281" s="387"/>
      <c r="F281" s="475"/>
      <c r="G281" s="482"/>
      <c r="H281" s="384"/>
      <c r="I281" s="387"/>
      <c r="J281" s="387"/>
      <c r="K281" s="387"/>
      <c r="L281" s="384"/>
      <c r="M281" s="387"/>
      <c r="N281" s="384"/>
      <c r="O281" s="387"/>
      <c r="P281" s="384"/>
      <c r="Q281" s="387"/>
      <c r="R281" s="540"/>
      <c r="S281" s="540"/>
      <c r="T281" s="540"/>
      <c r="U281" s="540"/>
    </row>
    <row r="282" spans="1:34" ht="204" hidden="1">
      <c r="A282" s="396"/>
      <c r="B282" s="386">
        <v>10</v>
      </c>
      <c r="C282" s="492" t="s">
        <v>1242</v>
      </c>
      <c r="D282" s="338"/>
      <c r="E282" s="399"/>
      <c r="F282" s="472"/>
      <c r="G282" s="414"/>
      <c r="H282" s="1600" t="s">
        <v>761</v>
      </c>
      <c r="I282" s="1601"/>
      <c r="J282" s="1600" t="s">
        <v>440</v>
      </c>
      <c r="K282" s="1601"/>
      <c r="L282" s="1600" t="s">
        <v>439</v>
      </c>
      <c r="M282" s="1604"/>
      <c r="N282" s="1600" t="s">
        <v>717</v>
      </c>
      <c r="O282" s="1601"/>
      <c r="P282" s="1600" t="s">
        <v>718</v>
      </c>
      <c r="Q282" s="1601"/>
      <c r="R282" s="1600" t="s">
        <v>759</v>
      </c>
      <c r="S282" s="1601"/>
      <c r="T282" s="1602" t="s">
        <v>760</v>
      </c>
      <c r="U282" s="1603"/>
      <c r="V282" s="969"/>
      <c r="W282" s="969"/>
      <c r="X282" s="969"/>
      <c r="Y282" s="969"/>
      <c r="Z282" s="969"/>
      <c r="AA282" s="969"/>
      <c r="AB282" s="969"/>
      <c r="AC282" s="969"/>
      <c r="AD282" s="969"/>
      <c r="AE282" s="969"/>
      <c r="AF282" s="969"/>
      <c r="AG282" s="969"/>
      <c r="AH282" s="969"/>
    </row>
    <row r="283" spans="1:34" hidden="1">
      <c r="A283" s="396"/>
      <c r="B283" s="386"/>
      <c r="C283" s="474" t="s">
        <v>857</v>
      </c>
      <c r="D283" s="338">
        <v>1.2</v>
      </c>
      <c r="E283" s="399" t="s">
        <v>862</v>
      </c>
      <c r="F283" s="472">
        <v>0.2</v>
      </c>
      <c r="G283" s="414"/>
      <c r="H283" s="603" t="s">
        <v>856</v>
      </c>
      <c r="I283" s="604">
        <v>0.24399999999999999</v>
      </c>
      <c r="J283" s="603" t="s">
        <v>856</v>
      </c>
      <c r="K283" s="604">
        <v>0.31</v>
      </c>
      <c r="L283" s="603" t="s">
        <v>856</v>
      </c>
      <c r="M283" s="604">
        <v>0.4</v>
      </c>
      <c r="N283" s="603" t="s">
        <v>856</v>
      </c>
      <c r="O283" s="604">
        <v>0.6</v>
      </c>
      <c r="P283" s="603" t="s">
        <v>856</v>
      </c>
      <c r="Q283" s="604">
        <v>0.75</v>
      </c>
      <c r="R283" s="603" t="s">
        <v>867</v>
      </c>
      <c r="S283" s="604">
        <v>0.99</v>
      </c>
      <c r="T283" s="603" t="s">
        <v>867</v>
      </c>
      <c r="U283" s="604">
        <v>1.23</v>
      </c>
      <c r="V283" s="967"/>
      <c r="W283" s="967"/>
      <c r="X283" s="967"/>
      <c r="Y283" s="967"/>
      <c r="Z283" s="967"/>
      <c r="AA283" s="967"/>
      <c r="AB283" s="967"/>
      <c r="AC283" s="967"/>
      <c r="AD283" s="967"/>
      <c r="AE283" s="967"/>
      <c r="AF283" s="967"/>
      <c r="AG283" s="967"/>
      <c r="AH283" s="967"/>
    </row>
    <row r="284" spans="1:34" hidden="1">
      <c r="A284" s="396"/>
      <c r="B284" s="386"/>
      <c r="C284" s="474" t="s">
        <v>858</v>
      </c>
      <c r="D284" s="338">
        <v>1</v>
      </c>
      <c r="E284" s="399" t="s">
        <v>859</v>
      </c>
      <c r="F284" s="472">
        <v>0.23</v>
      </c>
      <c r="G284" s="414"/>
      <c r="H284" s="603"/>
      <c r="I284" s="604"/>
      <c r="J284" s="603"/>
      <c r="K284" s="604"/>
      <c r="L284" s="603"/>
      <c r="M284" s="604"/>
      <c r="N284" s="603"/>
      <c r="O284" s="604"/>
      <c r="P284" s="603"/>
      <c r="Q284" s="604"/>
      <c r="R284" s="706"/>
      <c r="S284" s="707"/>
      <c r="T284" s="706"/>
      <c r="U284" s="707"/>
      <c r="V284" s="966"/>
      <c r="W284" s="966"/>
      <c r="X284" s="966"/>
      <c r="Y284" s="966"/>
      <c r="Z284" s="966"/>
      <c r="AA284" s="966"/>
      <c r="AB284" s="966"/>
      <c r="AC284" s="966"/>
      <c r="AD284" s="966"/>
      <c r="AE284" s="966"/>
      <c r="AF284" s="966"/>
      <c r="AG284" s="966"/>
      <c r="AH284" s="966"/>
    </row>
    <row r="285" spans="1:34" hidden="1">
      <c r="A285" s="396"/>
      <c r="B285" s="386"/>
      <c r="C285" s="474" t="s">
        <v>860</v>
      </c>
      <c r="D285" s="338">
        <v>0.5</v>
      </c>
      <c r="E285" s="399" t="s">
        <v>861</v>
      </c>
      <c r="F285" s="472">
        <v>0.23</v>
      </c>
      <c r="G285" s="414"/>
      <c r="H285" s="603"/>
      <c r="I285" s="604"/>
      <c r="J285" s="603"/>
      <c r="K285" s="604"/>
      <c r="L285" s="603"/>
      <c r="M285" s="604"/>
      <c r="N285" s="603"/>
      <c r="O285" s="604"/>
      <c r="P285" s="603"/>
      <c r="Q285" s="604"/>
      <c r="R285" s="706"/>
      <c r="S285" s="707"/>
      <c r="T285" s="706"/>
      <c r="U285" s="707"/>
      <c r="V285" s="966"/>
      <c r="W285" s="966"/>
      <c r="X285" s="966"/>
      <c r="Y285" s="966"/>
      <c r="Z285" s="966"/>
      <c r="AA285" s="966"/>
      <c r="AB285" s="966"/>
      <c r="AC285" s="966"/>
      <c r="AD285" s="966"/>
      <c r="AE285" s="966"/>
      <c r="AF285" s="966"/>
      <c r="AG285" s="966"/>
      <c r="AH285" s="966"/>
    </row>
    <row r="286" spans="1:34" hidden="1">
      <c r="A286" s="396"/>
      <c r="B286" s="386"/>
      <c r="C286" s="474" t="s">
        <v>865</v>
      </c>
      <c r="D286" s="338">
        <v>0.15</v>
      </c>
      <c r="E286" s="399" t="s">
        <v>866</v>
      </c>
      <c r="F286" s="472">
        <v>0.35</v>
      </c>
      <c r="G286" s="414"/>
      <c r="H286" s="603"/>
      <c r="I286" s="604"/>
      <c r="J286" s="603"/>
      <c r="K286" s="604"/>
      <c r="L286" s="603"/>
      <c r="M286" s="604"/>
      <c r="N286" s="603"/>
      <c r="O286" s="604"/>
      <c r="P286" s="603"/>
      <c r="Q286" s="604"/>
      <c r="R286" s="706"/>
      <c r="S286" s="707"/>
      <c r="T286" s="706"/>
      <c r="U286" s="707"/>
      <c r="V286" s="966"/>
      <c r="W286" s="966"/>
      <c r="X286" s="966"/>
      <c r="Y286" s="966"/>
      <c r="Z286" s="966"/>
      <c r="AA286" s="966"/>
      <c r="AB286" s="966"/>
      <c r="AC286" s="966"/>
      <c r="AD286" s="966"/>
      <c r="AE286" s="966"/>
      <c r="AF286" s="966"/>
      <c r="AG286" s="966"/>
      <c r="AH286" s="966"/>
    </row>
    <row r="287" spans="1:34" hidden="1">
      <c r="A287" s="396"/>
      <c r="B287" s="386"/>
      <c r="C287" s="474" t="s">
        <v>863</v>
      </c>
      <c r="D287" s="338">
        <v>0.56000000000000005</v>
      </c>
      <c r="E287" s="399"/>
      <c r="F287" s="472"/>
      <c r="G287" s="414"/>
      <c r="H287" s="603"/>
      <c r="I287" s="604"/>
      <c r="J287" s="603"/>
      <c r="K287" s="604"/>
      <c r="L287" s="603"/>
      <c r="M287" s="604"/>
      <c r="N287" s="603"/>
      <c r="O287" s="604"/>
      <c r="P287" s="603"/>
      <c r="Q287" s="604"/>
      <c r="R287" s="706"/>
      <c r="S287" s="707"/>
      <c r="T287" s="706"/>
      <c r="U287" s="707"/>
      <c r="V287" s="966"/>
      <c r="W287" s="966"/>
      <c r="X287" s="966"/>
      <c r="Y287" s="966"/>
      <c r="Z287" s="966"/>
      <c r="AA287" s="966"/>
      <c r="AB287" s="966"/>
      <c r="AC287" s="966"/>
      <c r="AD287" s="966"/>
      <c r="AE287" s="966"/>
      <c r="AF287" s="966"/>
      <c r="AG287" s="966"/>
      <c r="AH287" s="966"/>
    </row>
    <row r="288" spans="1:34" ht="25.5" hidden="1">
      <c r="A288" s="396"/>
      <c r="B288" s="386"/>
      <c r="C288" s="474" t="str">
        <f>CONCATENATE("CC in CM( 1:4:8) PI/4x(0.9+0.46+0.3)x0.15=",E288)</f>
        <v>CC in CM( 1:4:8) PI/4x(0.9+0.46+0.3)x0.15=0.76026542216873</v>
      </c>
      <c r="D288" s="338" t="s">
        <v>109</v>
      </c>
      <c r="E288" s="489">
        <f t="shared" ref="E288:E293" si="33">U288</f>
        <v>0.76026542216872983</v>
      </c>
      <c r="F288" s="472">
        <f>F268</f>
        <v>5383.2900000000009</v>
      </c>
      <c r="G288" s="477">
        <f t="shared" ref="G288:G294" si="34">+ROUND(E288*F288,2)</f>
        <v>4092.73</v>
      </c>
      <c r="H288" s="477"/>
      <c r="I288" s="477">
        <f>(PI()/4)*(($D$155+(2*$F$158))+0.3)^2*$F$155</f>
        <v>0.76026542216872983</v>
      </c>
      <c r="J288" s="477"/>
      <c r="K288" s="477">
        <f>(PI()/4)*(($D$155+(2*$F$158))+0.3)^2*$F$155</f>
        <v>0.76026542216872983</v>
      </c>
      <c r="L288" s="477"/>
      <c r="M288" s="477">
        <f>(PI()/4)*(($D$155+(2*$F$158))+0.3)^2*$F$155</f>
        <v>0.76026542216872983</v>
      </c>
      <c r="N288" s="477"/>
      <c r="O288" s="477">
        <f>(PI()/4)*(($D$155+(2*$F$158))+0.3)^2*$F$155</f>
        <v>0.76026542216872983</v>
      </c>
      <c r="P288" s="477"/>
      <c r="Q288" s="477">
        <f>(PI()/4)*(($D$155+(2*$F$158))+0.3)^2*$F$155</f>
        <v>0.76026542216872983</v>
      </c>
      <c r="R288" s="477"/>
      <c r="S288" s="477">
        <f>(PI()/4)*(($D$155+(2*$F$158))+0.3)^2*$F$155</f>
        <v>0.76026542216872983</v>
      </c>
      <c r="T288" s="477"/>
      <c r="U288" s="477">
        <f>(PI()/4)*(($D$155+(2*$F$158))+0.3)^2*$F$155</f>
        <v>0.76026542216872983</v>
      </c>
      <c r="V288" s="447"/>
      <c r="W288" s="447"/>
      <c r="X288" s="447"/>
      <c r="Y288" s="447"/>
      <c r="Z288" s="447"/>
      <c r="AA288" s="447"/>
      <c r="AB288" s="447"/>
      <c r="AC288" s="447"/>
      <c r="AD288" s="447"/>
      <c r="AE288" s="447"/>
      <c r="AF288" s="447"/>
      <c r="AG288" s="447"/>
      <c r="AH288" s="447"/>
    </row>
    <row r="289" spans="1:34" ht="51" hidden="1">
      <c r="A289" s="396"/>
      <c r="B289" s="386"/>
      <c r="C289" s="474" t="str">
        <f>CONCATENATE("2nd Class Brick Masonory in cm (1: 6) Prop using 2nd class bricks for Uniform Section( PIx1.13x0.23x0.4)-(PI/4*0.23*0.23*.23*2)=",E289)</f>
        <v>2nd Class Brick Masonory in cm (1: 6) Prop using 2nd class bricks for Uniform Section( PIx1.13x0.23x0.4)-(PI/4*0.23*0.23*.23*2)=0.191282014068711</v>
      </c>
      <c r="D289" s="338" t="s">
        <v>109</v>
      </c>
      <c r="E289" s="489">
        <f t="shared" si="33"/>
        <v>0.19128201406871082</v>
      </c>
      <c r="F289" s="472">
        <f>F269</f>
        <v>8504.4699999999993</v>
      </c>
      <c r="G289" s="477">
        <f t="shared" si="34"/>
        <v>1626.75</v>
      </c>
      <c r="H289" s="479">
        <f>ROUND(PI()/4*I283*I283*(($D$158/I283)*$F$158+(((I283-$D$158)/I283)*$F$157))*2,3)</f>
        <v>2.8000000000000001E-2</v>
      </c>
      <c r="I289" s="479">
        <f>(PI()*($D$155+$F$158)*$F$158*$D$158)+(PI()*($D$155+$F$157)*$F$157*$D$157)-H289</f>
        <v>0.74428201406871075</v>
      </c>
      <c r="J289" s="479">
        <f>ROUND(PI()/4*K283*K283*(($D$158/K283)*$F$158+(((K283-$D$158)/K283)*$F$157))*2,3)</f>
        <v>4.2999999999999997E-2</v>
      </c>
      <c r="K289" s="479">
        <f>(PI()*($D$155+$F$158)*$F$158*$D$158)+(PI()*($D$155+$F$157)*$F$157*$D$157)-J289</f>
        <v>0.72928201406871074</v>
      </c>
      <c r="L289" s="479">
        <f>ROUND(PI()/4*M283*M283*(($D$158/M283)*$F$158+(((M283-$D$158)/M283)*$F$157))*2,3)</f>
        <v>6.9000000000000006E-2</v>
      </c>
      <c r="M289" s="479">
        <f>(PI()*($D$155+$F$158)*$F$158*$D$158)+(PI()*($D$155+$F$157)*$F$157*$D$157)-L289</f>
        <v>0.70328201406871083</v>
      </c>
      <c r="N289" s="479">
        <f>ROUND(PI()/4*O283*O283*(($D$158/O283)*$F$158+(((O283-$D$158)/O283)*$F$157))*2,3)</f>
        <v>0.14699999999999999</v>
      </c>
      <c r="O289" s="479">
        <f>(PI()*($D$155+$F$158)*$F$158*$D$158)+(PI()*($D$155+$F$157)*$F$157*$D$157)-N289</f>
        <v>0.62528201406871076</v>
      </c>
      <c r="P289" s="479">
        <f>ROUND(PI()/4*Q283*Q283*(($D$158/Q283)*$F$158+(((Q283-$D$158)/Q283)*$F$157))*2,3)</f>
        <v>0.224</v>
      </c>
      <c r="Q289" s="479">
        <f>(PI()*($D$155+$F$158)*$F$158*$D$158)+(PI()*($D$155+$F$157)*$F$157*$D$157)-P289</f>
        <v>0.5482820140687108</v>
      </c>
      <c r="R289" s="479">
        <f>ROUND(PI()/4*S283*S283*(($D$158/S283)*$F$158+(((S283-$D$158)/S283)*$F$157))*2,3)</f>
        <v>0.38200000000000001</v>
      </c>
      <c r="S289" s="479">
        <f>(PI()*($D$155+$F$158)*$F$158*$D$158)+(PI()*($D$155+$F$157)*$F$157*$D$157)-R289</f>
        <v>0.39028201406871077</v>
      </c>
      <c r="T289" s="479">
        <f>ROUND(PI()/4*U283*U283*(($D$158/U283)*$F$158+(((U283-$D$158)/U283)*$F$157))*2,3)</f>
        <v>0.58099999999999996</v>
      </c>
      <c r="U289" s="479">
        <f>(PI()*($D$155+$F$158)*$F$158*$D$158)+(PI()*($D$155+$F$157)*$F$157*$D$157)-T289</f>
        <v>0.19128201406871082</v>
      </c>
      <c r="V289" s="465"/>
      <c r="W289" s="465"/>
      <c r="X289" s="465"/>
      <c r="Y289" s="465"/>
      <c r="Z289" s="465"/>
      <c r="AA289" s="465"/>
      <c r="AB289" s="465"/>
      <c r="AC289" s="465"/>
      <c r="AD289" s="465"/>
      <c r="AE289" s="465"/>
      <c r="AF289" s="465"/>
      <c r="AG289" s="465"/>
      <c r="AH289" s="465"/>
    </row>
    <row r="290" spans="1:34" ht="51" hidden="1">
      <c r="A290" s="396"/>
      <c r="B290" s="386"/>
      <c r="C290" s="474" t="str">
        <f>CONCATENATE("2nd Class Brick Masonory work  in cm (1: 6) )Prop using 2nd class bricks for Carbelling Portion Pix(1.13+0.78)/2x0.23x(0.6-.25)=",E290)</f>
        <v>2nd Class Brick Masonory work  in cm (1: 6) )Prop using 2nd class bricks for Carbelling Portion Pix(1.13+0.78)/2x0.23x(0.6-.25)=0.661690098680716</v>
      </c>
      <c r="D290" s="338" t="s">
        <v>109</v>
      </c>
      <c r="E290" s="489">
        <f t="shared" si="33"/>
        <v>0.66169009868071627</v>
      </c>
      <c r="F290" s="472">
        <f>F289</f>
        <v>8504.4699999999993</v>
      </c>
      <c r="G290" s="477">
        <f t="shared" si="34"/>
        <v>5627.32</v>
      </c>
      <c r="H290" s="389"/>
      <c r="I290" s="389">
        <f>(PI()*(($D$155+$F$156+$D$159+$F$156)/2)*$F$156)*($D$156-0.25)</f>
        <v>0.60153645334610573</v>
      </c>
      <c r="J290" s="389"/>
      <c r="K290" s="389">
        <f>(PI()*(($D$155+$F$156+$D$159+$F$156)/2)*$F$156)*($D$156-0.25)</f>
        <v>0.60153645334610573</v>
      </c>
      <c r="L290" s="493"/>
      <c r="M290" s="389">
        <f>(PI()*(($D$155+$F$156+$D$159+$F$156)/2)*$F$156)*($D$156-0.25)</f>
        <v>0.60153645334610573</v>
      </c>
      <c r="N290" s="389"/>
      <c r="O290" s="389">
        <f>(PI()*(($D$155+$F$156+$D$159+$F$156)/2)*$F$156)*($D$156-0.25)</f>
        <v>0.60153645334610573</v>
      </c>
      <c r="P290" s="389"/>
      <c r="Q290" s="389">
        <f>(PI()*(($D$155+$F$156+$D$159+$F$156)/2)*$F$156)*($D$156-0.25)</f>
        <v>0.60153645334610573</v>
      </c>
      <c r="R290" s="493"/>
      <c r="S290" s="389">
        <f>(PI()*(($D$155+$F$156+$D$159+$F$156)/2)*$F$156)*($D$156-0.25)</f>
        <v>0.60153645334610573</v>
      </c>
      <c r="T290" s="493"/>
      <c r="U290" s="389">
        <f>(PI()*(($D$155+$F$156+$D$159+$F$156)/2)*$F$156)*($D$156-0.175)</f>
        <v>0.66169009868071627</v>
      </c>
      <c r="V290" s="165"/>
      <c r="W290" s="165"/>
      <c r="X290" s="165"/>
      <c r="Y290" s="165"/>
      <c r="Z290" s="165"/>
      <c r="AA290" s="165"/>
      <c r="AB290" s="165"/>
      <c r="AC290" s="165"/>
      <c r="AD290" s="165"/>
      <c r="AE290" s="165"/>
      <c r="AF290" s="165"/>
      <c r="AG290" s="165"/>
      <c r="AH290" s="165"/>
    </row>
    <row r="291" spans="1:34" ht="51" hidden="1">
      <c r="A291" s="396"/>
      <c r="B291" s="386"/>
      <c r="C291" s="970" t="str">
        <f>CONCATENATE("External Plastering in CM(1:4) of 12 mm thick vertical portion Pix(.9+.23*2)x0.40 and sloped portion Pix(1.36+1.01)/2x(0.6-.25)  Dedcut Pipe Portion 2xPI()/4x0.23x0.23=",E291)</f>
        <v>External Plastering in CM(1:4) of 12 mm thick vertical portion Pix(.9+.23*2)x0.40 and sloped portion Pix(1.36+1.01)/2x(0.6-.25)  Dedcut Pipe Portion 2xPI()/4x0.23x0.23=4.59990648729613</v>
      </c>
      <c r="D291" s="338" t="s">
        <v>224</v>
      </c>
      <c r="E291" s="489">
        <f t="shared" si="33"/>
        <v>4.5999064872961348</v>
      </c>
      <c r="F291" s="472">
        <f>F271</f>
        <v>170.45499999999998</v>
      </c>
      <c r="G291" s="477">
        <f t="shared" si="34"/>
        <v>784.08</v>
      </c>
      <c r="H291" s="389">
        <f>ROUND(PI()/4*I283*I283*2,3)</f>
        <v>9.4E-2</v>
      </c>
      <c r="I291" s="389">
        <f>(PI()*($D$155+2*($F$158))*($D$158))+(PI()*($D$155+(2*$F$157))*$D$157)+(PI()*(($D$155+2*($F$156)+$D$159+2*($F$156))/2)*($D$156-0.25))-H291</f>
        <v>6.5661764256103607</v>
      </c>
      <c r="J291" s="389">
        <f>ROUND(PI()/4*K283*K283*2,3)</f>
        <v>0.151</v>
      </c>
      <c r="K291" s="389">
        <f>(PI()*($D$155+2*($F$158))*($D$158))+(PI()*($D$155+(2*$F$157))*$D$157)+(PI()*(($D$155+2*($F$156)+$D$159+2*($F$156))/2)*($D$156-0.25))-J291</f>
        <v>6.5091764256103612</v>
      </c>
      <c r="L291" s="389">
        <f>ROUND(PI()/4*M283*M283*2,3)</f>
        <v>0.251</v>
      </c>
      <c r="M291" s="389">
        <f>(PI()*($D$155+2*($F$158))*($D$158))+(PI()*($D$155+(2*$F$157))*$D$157)+(PI()*(($D$155+2*($F$156)+$D$159+2*($F$156))/2)*($D$156-0.25))-L291</f>
        <v>6.4091764256103607</v>
      </c>
      <c r="N291" s="389">
        <f>ROUND(PI()/4*O283*O283*2,3)</f>
        <v>0.56499999999999995</v>
      </c>
      <c r="O291" s="389">
        <f>(PI()*($D$155+2*($F$158))*($D$158))+(PI()*($D$155+(2*$F$157))*$D$157)+(PI()*(($D$155+2*($F$156)+$D$159+2*($F$156))/2)*($D$156-0.25))-N291</f>
        <v>6.0951764256103615</v>
      </c>
      <c r="P291" s="389">
        <f>ROUND(PI()/4*Q283*Q283*2,3)</f>
        <v>0.88400000000000001</v>
      </c>
      <c r="Q291" s="389">
        <f>(PI()*($D$155+2*($F$158))*($D$158))+(PI()*($D$155+(2*$F$157))*$D$157)+(PI()*(($D$155+2*($F$156)+$D$159+2*($F$156))/2)*($D$156-0.25))-P291</f>
        <v>5.7761764256103607</v>
      </c>
      <c r="R291" s="389">
        <f>ROUND(PI()/4*S283*S283*2,3)</f>
        <v>1.54</v>
      </c>
      <c r="S291" s="389">
        <f>(PI()*($D$155+2*($F$158))*($D$158))+(PI()*($D$155+(2*$F$157))*$D$157)+(PI()*(($D$155+2*($F$156)+$D$159+2*($F$156))/2)*($D$156-0.25))-R291</f>
        <v>5.120176425610361</v>
      </c>
      <c r="T291" s="389">
        <f>ROUND(PI()/4*U283*U283*2,3)</f>
        <v>2.3759999999999999</v>
      </c>
      <c r="U291" s="389">
        <f>(PI()*($D$155+2*($F$158))*($D$158))+(PI()*($D$155+(2*$F$157))*$D$157)+(PI()*(($D$155+2*($F$156)+$D$159+2*($F$156))/2)*($D$156-0.175))-T291</f>
        <v>4.5999064872961348</v>
      </c>
      <c r="V291" s="165"/>
      <c r="W291" s="165"/>
      <c r="X291" s="165"/>
      <c r="Y291" s="165"/>
      <c r="Z291" s="165"/>
      <c r="AA291" s="165"/>
      <c r="AB291" s="165"/>
      <c r="AC291" s="165"/>
      <c r="AD291" s="165"/>
      <c r="AE291" s="165"/>
      <c r="AF291" s="165"/>
      <c r="AG291" s="165"/>
      <c r="AH291" s="165"/>
    </row>
    <row r="292" spans="1:34" ht="51" hidden="1">
      <c r="A292" s="396"/>
      <c r="B292" s="386"/>
      <c r="C292" s="474" t="str">
        <f>CONCATENATE("Internal Plastering in CM(1:4) of 20 mm thick uniform portion PIx0.90x0.4 and Sloped Portion Pix(0.90+0.56)/2x(.6-.25)  Dedcut Pipe Portion 2xPI()/4x0.25x0.25=",E292)</f>
        <v>Internal Plastering in CM(1:4) of 20 mm thick uniform portion PIx0.90x0.4 and Sloped Portion Pix(0.90+0.56)/2x(.6-.25)  Dedcut Pipe Portion 2xPI()/4x0.25x0.25=0.0942385363062286</v>
      </c>
      <c r="D292" s="338" t="s">
        <v>224</v>
      </c>
      <c r="E292" s="399">
        <f t="shared" si="33"/>
        <v>9.4238536306228582E-2</v>
      </c>
      <c r="F292" s="472">
        <f>F272</f>
        <v>259.48599999999999</v>
      </c>
      <c r="G292" s="477">
        <f t="shared" si="34"/>
        <v>24.45</v>
      </c>
      <c r="H292" s="389">
        <f>ROUND(PI()*$D$155*I283,3)</f>
        <v>0.92</v>
      </c>
      <c r="I292" s="490">
        <f>((PI()*$D$155*$D$158)+(PI()*($D$155)*$D$157)+(PI()*($D$155+$D$159)/2*($D$156-0.175)))-H292</f>
        <v>3.8112385363062282</v>
      </c>
      <c r="J292" s="389">
        <f>ROUND(PI()*$D$155*K283,3)</f>
        <v>1.169</v>
      </c>
      <c r="K292" s="490">
        <f>((PI()*$D$155*$D$158)+(PI()*($D$155)*$D$157)+(PI()*($D$155+$D$159)/2*($D$156-0.175)))-J292</f>
        <v>3.5622385363062281</v>
      </c>
      <c r="L292" s="389">
        <f>ROUND(PI()*$D$155*M283,3)</f>
        <v>1.508</v>
      </c>
      <c r="M292" s="490">
        <f>((PI()*$D$155*$D$158)+(PI()*($D$155)*$D$157)+(PI()*($D$155+$D$159)/2*($D$156-0.175)))-L292</f>
        <v>3.2232385363062281</v>
      </c>
      <c r="N292" s="389">
        <f>ROUND(PI()*$D$155*O283,3)</f>
        <v>2.262</v>
      </c>
      <c r="O292" s="490">
        <f>((PI()*$D$155*$D$158)+(PI()*($D$155)*$D$157)+(PI()*($D$155+$D$159)/2*($D$156-0.175)))-N292</f>
        <v>2.4692385363062281</v>
      </c>
      <c r="P292" s="389">
        <f>ROUND(PI()*$D$155*Q283,3)</f>
        <v>2.827</v>
      </c>
      <c r="Q292" s="490">
        <f>((PI()*$D$155*$D$158)+(PI()*($D$155)*$D$157)+(PI()*($D$155+$D$159)/2*($D$156-0.175)))-P292</f>
        <v>1.9042385363062282</v>
      </c>
      <c r="R292" s="389">
        <f>ROUND(PI()*$D$155*S283,3)</f>
        <v>3.7320000000000002</v>
      </c>
      <c r="S292" s="490">
        <f>((PI()*$D$155*$D$158)+(PI()*($D$155)*$D$157)+(PI()*($D$155+$D$159)/2*($D$156-0.175)))-R292</f>
        <v>0.99923853630622794</v>
      </c>
      <c r="T292" s="389">
        <f>ROUND(PI()*$D$155*U283,3)</f>
        <v>4.6369999999999996</v>
      </c>
      <c r="U292" s="490">
        <f>((PI()*$D$155*$D$158)+(PI()*($D$155)*$D$157)+(PI()*($D$155+$D$159)/2*($D$156-0.175)))-T292</f>
        <v>9.4238536306228582E-2</v>
      </c>
      <c r="V292" s="467"/>
      <c r="W292" s="467"/>
      <c r="X292" s="467"/>
      <c r="Y292" s="467"/>
      <c r="Z292" s="467"/>
      <c r="AA292" s="467"/>
      <c r="AB292" s="467"/>
      <c r="AC292" s="467"/>
      <c r="AD292" s="467"/>
      <c r="AE292" s="467"/>
      <c r="AF292" s="467"/>
      <c r="AG292" s="467"/>
      <c r="AH292" s="467"/>
    </row>
    <row r="293" spans="1:34" ht="51" hidden="1">
      <c r="A293" s="396"/>
      <c r="B293" s="386"/>
      <c r="C293" s="473" t="str">
        <f>CONCATENATE("CC Channeling with (1:2.5:5) Prop  PIx0.9x0.9x0.30/4 = over Manhole alround for Cover PIx0.81x0.15x0.10= deduct Channel 0.90x0.25x0.25=",E293)</f>
        <v>CC Channeling with (1:2.5:5) Prop  PIx0.9x0.9x0.30/4 = over Manhole alround for Cover PIx0.81x0.15x0.10= deduct Channel 0.90x0.25x0.25=0.0315340576513508</v>
      </c>
      <c r="D293" s="338" t="s">
        <v>109</v>
      </c>
      <c r="E293" s="489">
        <f t="shared" si="33"/>
        <v>3.1534057651350755E-2</v>
      </c>
      <c r="F293" s="472">
        <f>F273</f>
        <v>6018.18</v>
      </c>
      <c r="G293" s="477">
        <f t="shared" si="34"/>
        <v>189.78</v>
      </c>
      <c r="H293" s="389">
        <f>ROUND($D$155*(PI()/4)*I283*I283,3)</f>
        <v>5.6000000000000001E-2</v>
      </c>
      <c r="I293" s="389">
        <f>(((PI()*$D$155^2/4)*I283)+(PI()*($D$155+$F$156)*$F$156*0.075)+(PI()*(0.71+0.08)*0.08*0.175))-H293</f>
        <v>0.33219875022245671</v>
      </c>
      <c r="J293" s="389">
        <f>ROUND($D$155*(PI()/4)*K283*K283,3)</f>
        <v>9.0999999999999998E-2</v>
      </c>
      <c r="K293" s="389">
        <f>(((PI()*$D$155^2/4)*K283)+(PI()*($D$155+$F$156)*$F$156*0.075)+(PI()*(0.71+0.08)*0.08*0.175))-J293</f>
        <v>0.37184299167175017</v>
      </c>
      <c r="L293" s="389">
        <f>ROUND($D$155*(PI()/4)*M283*M283,3)</f>
        <v>0.151</v>
      </c>
      <c r="M293" s="389">
        <f>(((PI()*$D$155^2/4)*M283)+(PI()*($D$155+$F$156)*$F$156*0.075)+(PI()*(0.71+0.08)*0.08*0.175))-L293</f>
        <v>0.41363059364805954</v>
      </c>
      <c r="N293" s="389">
        <f>ROUND($D$155*(PI()/4)*O283*O283,3)</f>
        <v>0.33900000000000002</v>
      </c>
      <c r="O293" s="389">
        <f>(((PI()*$D$155^2/4)*O283)+(PI()*($D$155+$F$156)*$F$156*0.075)+(PI()*(0.71+0.08)*0.08*0.175))-N293</f>
        <v>0.45182526470652457</v>
      </c>
      <c r="P293" s="389">
        <f>ROUND($D$155*(PI()/4)*Q283*Q283,3)</f>
        <v>0.53</v>
      </c>
      <c r="Q293" s="389">
        <f>(((PI()*$D$155^2/4)*Q283)+(PI()*($D$155+$F$156)*$F$156*0.075)+(PI()*(0.71+0.08)*0.08*0.175))-P293</f>
        <v>0.4304712680003735</v>
      </c>
      <c r="R293" s="389">
        <f>ROUND($D$155*(PI()/4)*S283*S283,3)</f>
        <v>0.92400000000000004</v>
      </c>
      <c r="S293" s="389">
        <f>(((PI()*$D$155^2/4)*S283)+(PI()*($D$155+$F$156)*$F$156*0.075)+(PI()*(0.71+0.08)*0.08*0.175))-R293</f>
        <v>0.30790487327053151</v>
      </c>
      <c r="T293" s="389">
        <f>ROUND($D$155*(PI()/4)*U283*U283,3)</f>
        <v>1.4259999999999999</v>
      </c>
      <c r="U293" s="389">
        <f>(((PI()*$D$155^2/4)*U283)+(PI()*($D$159+$F$156)*$F$156*0.075)+(PI()*(0.71+2*0.075+0.08)*0.08*0.1))-T293</f>
        <v>3.1534057651350755E-2</v>
      </c>
      <c r="V293" s="165"/>
      <c r="W293" s="165"/>
      <c r="X293" s="165"/>
      <c r="Y293" s="165"/>
      <c r="Z293" s="165"/>
      <c r="AA293" s="165"/>
      <c r="AB293" s="165"/>
      <c r="AC293" s="165"/>
      <c r="AD293" s="165"/>
      <c r="AE293" s="165"/>
      <c r="AF293" s="165"/>
      <c r="AG293" s="165"/>
      <c r="AH293" s="165"/>
    </row>
    <row r="294" spans="1:34" hidden="1">
      <c r="A294" s="396"/>
      <c r="B294" s="386"/>
      <c r="C294" s="473" t="s">
        <v>225</v>
      </c>
      <c r="D294" s="338" t="s">
        <v>226</v>
      </c>
      <c r="E294" s="399">
        <v>3</v>
      </c>
      <c r="F294" s="472">
        <f>F274</f>
        <v>81</v>
      </c>
      <c r="G294" s="477">
        <f t="shared" si="34"/>
        <v>243</v>
      </c>
      <c r="H294" s="477"/>
      <c r="I294" s="389"/>
      <c r="J294" s="389"/>
      <c r="K294" s="389"/>
      <c r="L294" s="389"/>
      <c r="M294" s="389"/>
      <c r="N294" s="389"/>
      <c r="O294" s="389"/>
      <c r="P294" s="389"/>
      <c r="Q294" s="389"/>
      <c r="R294" s="540"/>
      <c r="S294" s="540"/>
      <c r="T294" s="540"/>
      <c r="U294" s="540"/>
    </row>
    <row r="295" spans="1:34" hidden="1">
      <c r="A295" s="396"/>
      <c r="B295" s="386"/>
      <c r="C295" s="480" t="s">
        <v>106</v>
      </c>
      <c r="D295" s="338" t="s">
        <v>226</v>
      </c>
      <c r="E295" s="399"/>
      <c r="F295" s="472" t="s">
        <v>154</v>
      </c>
      <c r="G295" s="414">
        <f>SUM(G288:G294)</f>
        <v>12588.11</v>
      </c>
      <c r="H295" s="414"/>
      <c r="I295" s="389"/>
      <c r="J295" s="389"/>
      <c r="K295" s="389"/>
      <c r="L295" s="389"/>
      <c r="M295" s="389"/>
      <c r="N295" s="389"/>
      <c r="O295" s="389"/>
      <c r="P295" s="389"/>
      <c r="Q295" s="389"/>
      <c r="R295" s="540"/>
      <c r="S295" s="540"/>
      <c r="T295" s="540"/>
      <c r="U295" s="540"/>
    </row>
    <row r="296" spans="1:34" hidden="1">
      <c r="A296" s="396"/>
      <c r="B296" s="386"/>
      <c r="C296" s="480"/>
      <c r="D296" s="397"/>
      <c r="E296" s="399"/>
      <c r="F296" s="472"/>
      <c r="G296" s="414"/>
      <c r="H296" s="475"/>
      <c r="I296" s="389"/>
      <c r="J296" s="389"/>
      <c r="K296" s="389"/>
      <c r="L296" s="389"/>
      <c r="M296" s="389"/>
      <c r="N296" s="389"/>
      <c r="O296" s="389"/>
      <c r="P296" s="389"/>
      <c r="Q296" s="389"/>
      <c r="R296" s="657"/>
      <c r="S296" s="657"/>
      <c r="T296" s="657"/>
      <c r="U296" s="657"/>
      <c r="V296" s="197"/>
      <c r="W296" s="197"/>
      <c r="X296" s="197"/>
      <c r="Y296" s="197"/>
      <c r="Z296" s="197"/>
      <c r="AA296" s="197"/>
      <c r="AB296" s="197"/>
      <c r="AC296" s="197"/>
      <c r="AD296" s="197"/>
      <c r="AE296" s="197"/>
      <c r="AF296" s="197"/>
      <c r="AG296" s="197"/>
      <c r="AH296" s="197"/>
    </row>
    <row r="297" spans="1:34" hidden="1">
      <c r="A297" s="396"/>
      <c r="B297" s="386"/>
      <c r="C297" s="481" t="s">
        <v>319</v>
      </c>
      <c r="D297" s="388"/>
      <c r="E297" s="387"/>
      <c r="F297" s="475"/>
      <c r="G297" s="482"/>
      <c r="H297" s="475"/>
      <c r="I297" s="384"/>
      <c r="J297" s="384"/>
      <c r="K297" s="384"/>
      <c r="L297" s="384"/>
      <c r="M297" s="384"/>
      <c r="N297" s="384"/>
      <c r="O297" s="384"/>
      <c r="P297" s="384"/>
      <c r="Q297" s="384"/>
      <c r="R297" s="657"/>
      <c r="S297" s="657"/>
      <c r="T297" s="657"/>
      <c r="U297" s="657"/>
      <c r="V297" s="197"/>
      <c r="W297" s="197"/>
      <c r="X297" s="197"/>
      <c r="Y297" s="197"/>
      <c r="Z297" s="197"/>
      <c r="AA297" s="197"/>
      <c r="AB297" s="197"/>
      <c r="AC297" s="197"/>
      <c r="AD297" s="197"/>
      <c r="AE297" s="197"/>
      <c r="AF297" s="197"/>
      <c r="AG297" s="197"/>
      <c r="AH297" s="197"/>
    </row>
    <row r="298" spans="1:34" hidden="1">
      <c r="A298" s="396"/>
      <c r="B298" s="386"/>
      <c r="C298" s="481" t="s">
        <v>320</v>
      </c>
      <c r="D298" s="388" t="s">
        <v>109</v>
      </c>
      <c r="E298" s="483">
        <f>ROUND(E288*0.9+E293*0.9,2)</f>
        <v>0.71</v>
      </c>
      <c r="F298" s="475">
        <f>Lead!T214</f>
        <v>0</v>
      </c>
      <c r="G298" s="475">
        <v>0</v>
      </c>
      <c r="H298" s="384"/>
      <c r="I298" s="483">
        <f>ROUND(I288*0.9+I293*0.9,2)</f>
        <v>0.98</v>
      </c>
      <c r="J298" s="483"/>
      <c r="K298" s="483">
        <f>ROUND(K288*0.9+K293*0.9,2)</f>
        <v>1.02</v>
      </c>
      <c r="L298" s="384"/>
      <c r="M298" s="483">
        <f>ROUND(M288*0.9+M293*0.9,2)</f>
        <v>1.06</v>
      </c>
      <c r="N298" s="384"/>
      <c r="O298" s="483"/>
      <c r="P298" s="384"/>
      <c r="Q298" s="483"/>
      <c r="R298" s="657"/>
      <c r="S298" s="657"/>
      <c r="T298" s="657"/>
      <c r="U298" s="657"/>
      <c r="V298" s="197"/>
      <c r="W298" s="197"/>
      <c r="X298" s="197"/>
      <c r="Y298" s="197"/>
      <c r="Z298" s="197"/>
      <c r="AA298" s="197"/>
      <c r="AB298" s="197"/>
      <c r="AC298" s="197"/>
      <c r="AD298" s="197"/>
      <c r="AE298" s="197"/>
      <c r="AF298" s="197"/>
      <c r="AG298" s="197"/>
      <c r="AH298" s="197"/>
    </row>
    <row r="299" spans="1:34" hidden="1">
      <c r="A299" s="396"/>
      <c r="B299" s="386"/>
      <c r="C299" s="481" t="s">
        <v>321</v>
      </c>
      <c r="D299" s="388" t="s">
        <v>109</v>
      </c>
      <c r="E299" s="483">
        <f>ROUND((E289+E290)*0.2+(E291*0.015+E292*0.021)+(E288+E293)*0.45,2)</f>
        <v>0.6</v>
      </c>
      <c r="F299" s="475">
        <f>Lead!T207</f>
        <v>0</v>
      </c>
      <c r="G299" s="475">
        <v>0</v>
      </c>
      <c r="H299" s="384"/>
      <c r="I299" s="483">
        <f>ROUND((I289+I290)*0.2+(I291*0.015+I292*0.021)+(I288+I293)*0.45,2)</f>
        <v>0.94</v>
      </c>
      <c r="J299" s="483"/>
      <c r="K299" s="483">
        <f>ROUND((K289+K290)*0.2+(K291*0.015+K292*0.021)+(K288+K293)*0.45,2)</f>
        <v>0.95</v>
      </c>
      <c r="L299" s="384"/>
      <c r="M299" s="483">
        <f>ROUND((M289+M290)*0.2+(M291*0.015+M292*0.021)+(M288+M293)*0.45,2)</f>
        <v>0.95</v>
      </c>
      <c r="N299" s="384"/>
      <c r="O299" s="483"/>
      <c r="P299" s="384"/>
      <c r="Q299" s="483"/>
      <c r="R299" s="247"/>
      <c r="S299" s="247"/>
      <c r="T299" s="247"/>
      <c r="U299" s="247"/>
      <c r="V299" s="157"/>
      <c r="W299" s="157"/>
      <c r="X299" s="157"/>
      <c r="Y299" s="157"/>
      <c r="Z299" s="157"/>
      <c r="AA299" s="157"/>
      <c r="AB299" s="157"/>
      <c r="AC299" s="157"/>
      <c r="AD299" s="157"/>
      <c r="AE299" s="157"/>
      <c r="AF299" s="157"/>
      <c r="AG299" s="157"/>
      <c r="AH299" s="157"/>
    </row>
    <row r="300" spans="1:34" hidden="1">
      <c r="A300" s="396"/>
      <c r="B300" s="386"/>
      <c r="C300" s="481" t="s">
        <v>273</v>
      </c>
      <c r="D300" s="388"/>
      <c r="E300" s="387"/>
      <c r="F300" s="475" t="s">
        <v>154</v>
      </c>
      <c r="G300" s="482">
        <f>SUM(G295:G299)</f>
        <v>12588.11</v>
      </c>
      <c r="H300" s="384"/>
      <c r="I300" s="387"/>
      <c r="J300" s="387"/>
      <c r="K300" s="387"/>
      <c r="L300" s="384"/>
      <c r="M300" s="387"/>
      <c r="N300" s="384"/>
      <c r="O300" s="387"/>
      <c r="P300" s="384"/>
      <c r="Q300" s="387"/>
      <c r="R300" s="540"/>
      <c r="S300" s="540"/>
      <c r="T300" s="540"/>
      <c r="U300" s="540"/>
    </row>
    <row r="301" spans="1:34" hidden="1">
      <c r="A301" s="396"/>
      <c r="B301" s="386"/>
      <c r="C301" s="481"/>
      <c r="D301" s="388"/>
      <c r="E301" s="387"/>
      <c r="F301" s="475"/>
      <c r="G301" s="482"/>
      <c r="H301" s="384"/>
      <c r="I301" s="387"/>
      <c r="J301" s="387"/>
      <c r="K301" s="387"/>
      <c r="L301" s="384"/>
      <c r="M301" s="387"/>
      <c r="N301" s="384"/>
      <c r="O301" s="387"/>
      <c r="P301" s="384"/>
      <c r="Q301" s="387"/>
      <c r="R301" s="540"/>
      <c r="S301" s="540"/>
      <c r="T301" s="540"/>
      <c r="U301" s="540"/>
    </row>
    <row r="302" spans="1:34" ht="147.75" customHeight="1">
      <c r="A302" s="396"/>
      <c r="B302" s="389">
        <v>4</v>
      </c>
      <c r="C302" s="871" t="s">
        <v>1241</v>
      </c>
      <c r="D302" s="388"/>
      <c r="E302" s="387"/>
      <c r="F302" s="475"/>
      <c r="G302" s="482"/>
      <c r="H302" s="384"/>
      <c r="I302" s="387"/>
      <c r="J302" s="387"/>
      <c r="K302" s="387"/>
      <c r="L302" s="384"/>
      <c r="M302" s="387"/>
      <c r="N302" s="384"/>
      <c r="O302" s="387"/>
      <c r="P302" s="384"/>
      <c r="Q302" s="387"/>
      <c r="R302" s="540"/>
      <c r="S302" s="540"/>
      <c r="T302" s="540"/>
      <c r="U302" s="540"/>
    </row>
    <row r="303" spans="1:34" ht="38.25">
      <c r="A303" s="396"/>
      <c r="B303" s="389"/>
      <c r="C303" s="474" t="str">
        <f>CONCATENATE("2nd ClassBrick Masonory work  in cm (1: 6) )portion for Uniform Section PIx1.43x0.23x0.10 =",E303)</f>
        <v>2nd ClassBrick Masonory work  in cm (1: 6) )portion for Uniform Section PIx1.43x0.23x0.10 =1.1078</v>
      </c>
      <c r="D303" s="338" t="s">
        <v>109</v>
      </c>
      <c r="E303" s="811">
        <f>ROUND(PI()*(D155+F158)*F158*0.65,4)</f>
        <v>1.1077999999999999</v>
      </c>
      <c r="F303" s="863">
        <f>'Datas P7'!G273</f>
        <v>9540.84</v>
      </c>
      <c r="G303" s="477">
        <f>+ROUND(E303*F303,2)</f>
        <v>10569.34</v>
      </c>
      <c r="H303" s="389"/>
      <c r="I303" s="389"/>
      <c r="J303" s="389"/>
      <c r="K303" s="389"/>
      <c r="L303" s="389"/>
      <c r="M303" s="389"/>
      <c r="N303" s="389"/>
      <c r="O303" s="389"/>
      <c r="P303" s="389"/>
      <c r="Q303" s="389"/>
      <c r="R303" s="540"/>
      <c r="S303" s="540"/>
      <c r="T303" s="540"/>
      <c r="U303" s="540"/>
    </row>
    <row r="304" spans="1:34" ht="25.5">
      <c r="A304" s="396"/>
      <c r="B304" s="389"/>
      <c r="C304" s="474" t="str">
        <f>CONCATENATE("External Plastering in CM(1:4) of 12 mm thick vertical portion PIx1.36x0..10=",E304)</f>
        <v>External Plastering in CM(1:4) of 12 mm thick vertical portion PIx1.36x0..10=3.8799</v>
      </c>
      <c r="D304" s="338" t="s">
        <v>224</v>
      </c>
      <c r="E304" s="811">
        <f>ROUND(PI()*(D155+(2*F158))*0.65,4)</f>
        <v>3.8799000000000001</v>
      </c>
      <c r="F304" s="863">
        <f>'Datas P7'!G298</f>
        <v>170.45499999999998</v>
      </c>
      <c r="G304" s="477">
        <f>+ROUND(E304*F304,2)</f>
        <v>661.35</v>
      </c>
      <c r="H304" s="389"/>
      <c r="I304" s="389"/>
      <c r="J304" s="389"/>
      <c r="K304" s="389"/>
      <c r="L304" s="389"/>
      <c r="M304" s="389"/>
      <c r="N304" s="389"/>
      <c r="O304" s="389"/>
      <c r="P304" s="389"/>
      <c r="Q304" s="389"/>
      <c r="R304" s="540"/>
      <c r="S304" s="540"/>
      <c r="T304" s="540"/>
      <c r="U304" s="540"/>
    </row>
    <row r="305" spans="1:21" ht="25.5">
      <c r="A305" s="396"/>
      <c r="B305" s="389"/>
      <c r="C305" s="474" t="str">
        <f>CONCATENATE("Internal Plastering in CM(1:4) of 20 mm thick uniform portion PIx01.20x0.10=",E305)</f>
        <v>Internal Plastering in CM(1:4) of 20 mm thick uniform portion PIx01.20x0.10=2.45</v>
      </c>
      <c r="D305" s="338" t="s">
        <v>224</v>
      </c>
      <c r="E305" s="811">
        <f>ROUND(PI()*D155*0.65,3)</f>
        <v>2.4500000000000002</v>
      </c>
      <c r="F305" s="863">
        <f>'Datas P7'!G308/10</f>
        <v>259.48599999999999</v>
      </c>
      <c r="G305" s="477">
        <f>+ROUND(E305*F305,2)</f>
        <v>635.74</v>
      </c>
      <c r="H305" s="389"/>
      <c r="I305" s="389"/>
      <c r="J305" s="389"/>
      <c r="K305" s="389"/>
      <c r="L305" s="389"/>
      <c r="M305" s="389"/>
      <c r="N305" s="389"/>
      <c r="O305" s="389"/>
      <c r="P305" s="389"/>
      <c r="Q305" s="389"/>
      <c r="R305" s="540"/>
      <c r="S305" s="540"/>
      <c r="T305" s="540"/>
      <c r="U305" s="540"/>
    </row>
    <row r="306" spans="1:21">
      <c r="A306" s="396"/>
      <c r="B306" s="389"/>
      <c r="C306" s="474" t="s">
        <v>225</v>
      </c>
      <c r="D306" s="338" t="s">
        <v>10</v>
      </c>
      <c r="E306" s="399">
        <v>1</v>
      </c>
      <c r="F306" s="863">
        <f>F166</f>
        <v>81</v>
      </c>
      <c r="G306" s="477">
        <f>E306*F306</f>
        <v>81</v>
      </c>
      <c r="H306" s="389"/>
      <c r="I306" s="389"/>
      <c r="J306" s="389"/>
      <c r="K306" s="389"/>
      <c r="L306" s="389"/>
      <c r="M306" s="389"/>
      <c r="N306" s="389"/>
      <c r="O306" s="389"/>
      <c r="P306" s="389"/>
      <c r="Q306" s="389"/>
      <c r="R306" s="540"/>
      <c r="S306" s="540"/>
      <c r="T306" s="540"/>
      <c r="U306" s="540"/>
    </row>
    <row r="307" spans="1:21">
      <c r="A307" s="396"/>
      <c r="B307" s="389"/>
      <c r="C307" s="480" t="s">
        <v>868</v>
      </c>
      <c r="D307" s="338"/>
      <c r="E307" s="399"/>
      <c r="F307" s="472"/>
      <c r="G307" s="414">
        <f>SUM(G303:G306)</f>
        <v>11947.43</v>
      </c>
      <c r="H307" s="389"/>
      <c r="I307" s="389"/>
      <c r="J307" s="389"/>
      <c r="K307" s="389"/>
      <c r="L307" s="389"/>
      <c r="M307" s="389"/>
      <c r="N307" s="389"/>
      <c r="O307" s="389"/>
      <c r="P307" s="389"/>
      <c r="Q307" s="389"/>
      <c r="R307" s="540"/>
      <c r="S307" s="540"/>
      <c r="T307" s="540"/>
      <c r="U307" s="540"/>
    </row>
    <row r="308" spans="1:21">
      <c r="A308" s="396"/>
      <c r="B308" s="389"/>
      <c r="C308" s="480" t="s">
        <v>869</v>
      </c>
      <c r="D308" s="338"/>
      <c r="E308" s="399"/>
      <c r="F308" s="472"/>
      <c r="G308" s="865">
        <f>G307*0.1/0.65</f>
        <v>1838.0661538461541</v>
      </c>
      <c r="H308" s="389"/>
      <c r="I308" s="389"/>
      <c r="J308" s="389"/>
      <c r="K308" s="389"/>
      <c r="L308" s="389"/>
      <c r="M308" s="389"/>
      <c r="N308" s="389"/>
      <c r="O308" s="389"/>
      <c r="P308" s="389"/>
      <c r="Q308" s="389"/>
      <c r="R308" s="540"/>
      <c r="S308" s="540"/>
      <c r="T308" s="540"/>
      <c r="U308" s="540"/>
    </row>
    <row r="309" spans="1:21" s="760" customFormat="1" ht="38.25" hidden="1">
      <c r="A309" s="708"/>
      <c r="B309" s="484" t="s">
        <v>443</v>
      </c>
      <c r="C309" s="708" t="s">
        <v>456</v>
      </c>
      <c r="D309" s="382" t="s">
        <v>310</v>
      </c>
      <c r="E309" s="485" t="s">
        <v>442</v>
      </c>
      <c r="F309" s="486" t="s">
        <v>444</v>
      </c>
      <c r="G309" s="414" t="s">
        <v>511</v>
      </c>
      <c r="H309" s="414"/>
      <c r="I309" s="414"/>
      <c r="J309" s="487"/>
      <c r="K309" s="487"/>
      <c r="L309" s="487"/>
      <c r="M309" s="487"/>
      <c r="N309" s="487"/>
      <c r="O309" s="487"/>
      <c r="P309" s="487"/>
      <c r="Q309" s="487"/>
      <c r="R309" s="658"/>
      <c r="S309" s="658"/>
      <c r="T309" s="658"/>
      <c r="U309" s="658"/>
    </row>
    <row r="310" spans="1:21" hidden="1">
      <c r="A310" s="396"/>
      <c r="B310" s="338">
        <f t="shared" ref="B310:B318" si="35">B311-0.5</f>
        <v>-5</v>
      </c>
      <c r="C310" s="488" t="s">
        <v>457</v>
      </c>
      <c r="D310" s="385">
        <f>Lead!$Q$27</f>
        <v>0.13614999999999999</v>
      </c>
      <c r="E310" s="399">
        <f t="shared" ref="E310:E328" si="36">$G$171</f>
        <v>0</v>
      </c>
      <c r="F310" s="399">
        <f t="shared" ref="F310:F328" si="37">$G$307</f>
        <v>11947.43</v>
      </c>
      <c r="G310" s="382">
        <f t="shared" ref="G310:G327" si="38">ROUND((E310+B310*F310)+(E310+B310*F310)*D310,2)</f>
        <v>-67870.36</v>
      </c>
      <c r="H310" s="382"/>
      <c r="I310" s="382"/>
      <c r="J310" s="389"/>
      <c r="K310" s="389"/>
      <c r="L310" s="389"/>
      <c r="M310" s="389"/>
      <c r="N310" s="389"/>
      <c r="O310" s="389"/>
      <c r="P310" s="389"/>
      <c r="Q310" s="389"/>
      <c r="R310" s="540"/>
      <c r="S310" s="540"/>
      <c r="T310" s="540"/>
      <c r="U310" s="540"/>
    </row>
    <row r="311" spans="1:21" hidden="1">
      <c r="A311" s="396"/>
      <c r="B311" s="338">
        <f t="shared" si="35"/>
        <v>-4.5</v>
      </c>
      <c r="C311" s="488" t="s">
        <v>458</v>
      </c>
      <c r="D311" s="385">
        <f>Lead!$Q$27</f>
        <v>0.13614999999999999</v>
      </c>
      <c r="E311" s="399">
        <f t="shared" si="36"/>
        <v>0</v>
      </c>
      <c r="F311" s="399">
        <f t="shared" si="37"/>
        <v>11947.43</v>
      </c>
      <c r="G311" s="382">
        <f t="shared" si="38"/>
        <v>-61083.33</v>
      </c>
      <c r="H311" s="382"/>
      <c r="I311" s="382"/>
      <c r="J311" s="389"/>
      <c r="K311" s="389"/>
      <c r="L311" s="389"/>
      <c r="M311" s="389"/>
      <c r="N311" s="389"/>
      <c r="O311" s="389"/>
      <c r="P311" s="389"/>
      <c r="Q311" s="389"/>
      <c r="R311" s="540"/>
      <c r="S311" s="540"/>
      <c r="T311" s="540"/>
      <c r="U311" s="540"/>
    </row>
    <row r="312" spans="1:21" hidden="1">
      <c r="A312" s="396"/>
      <c r="B312" s="338">
        <f t="shared" si="35"/>
        <v>-4</v>
      </c>
      <c r="C312" s="488" t="s">
        <v>459</v>
      </c>
      <c r="D312" s="385">
        <f>Lead!$Q$27</f>
        <v>0.13614999999999999</v>
      </c>
      <c r="E312" s="399">
        <f t="shared" si="36"/>
        <v>0</v>
      </c>
      <c r="F312" s="399">
        <f t="shared" si="37"/>
        <v>11947.43</v>
      </c>
      <c r="G312" s="382">
        <f t="shared" si="38"/>
        <v>-54296.29</v>
      </c>
      <c r="H312" s="382"/>
      <c r="I312" s="382"/>
      <c r="J312" s="389"/>
      <c r="K312" s="389"/>
      <c r="L312" s="389"/>
      <c r="M312" s="389"/>
      <c r="N312" s="389"/>
      <c r="O312" s="389"/>
      <c r="P312" s="389"/>
      <c r="Q312" s="389"/>
      <c r="R312" s="540"/>
      <c r="S312" s="540"/>
      <c r="T312" s="540"/>
      <c r="U312" s="540"/>
    </row>
    <row r="313" spans="1:21" hidden="1">
      <c r="A313" s="396"/>
      <c r="B313" s="338">
        <f t="shared" si="35"/>
        <v>-3.5</v>
      </c>
      <c r="C313" s="488" t="s">
        <v>460</v>
      </c>
      <c r="D313" s="385">
        <f>Lead!$Q$27</f>
        <v>0.13614999999999999</v>
      </c>
      <c r="E313" s="399">
        <f t="shared" si="36"/>
        <v>0</v>
      </c>
      <c r="F313" s="399">
        <f t="shared" si="37"/>
        <v>11947.43</v>
      </c>
      <c r="G313" s="382">
        <f t="shared" si="38"/>
        <v>-47509.25</v>
      </c>
      <c r="H313" s="382"/>
      <c r="I313" s="382"/>
      <c r="J313" s="389"/>
      <c r="K313" s="389"/>
      <c r="L313" s="389"/>
      <c r="M313" s="389"/>
      <c r="N313" s="389"/>
      <c r="O313" s="389"/>
      <c r="P313" s="389"/>
      <c r="Q313" s="389"/>
      <c r="R313" s="540"/>
      <c r="S313" s="540"/>
      <c r="T313" s="540"/>
      <c r="U313" s="540"/>
    </row>
    <row r="314" spans="1:21" hidden="1">
      <c r="A314" s="396"/>
      <c r="B314" s="338">
        <f t="shared" si="35"/>
        <v>-3</v>
      </c>
      <c r="C314" s="488" t="s">
        <v>461</v>
      </c>
      <c r="D314" s="385">
        <f>Lead!$Q$27</f>
        <v>0.13614999999999999</v>
      </c>
      <c r="E314" s="399">
        <f t="shared" si="36"/>
        <v>0</v>
      </c>
      <c r="F314" s="399">
        <f t="shared" si="37"/>
        <v>11947.43</v>
      </c>
      <c r="G314" s="382">
        <f t="shared" si="38"/>
        <v>-40722.22</v>
      </c>
      <c r="H314" s="382"/>
      <c r="I314" s="382"/>
      <c r="J314" s="389"/>
      <c r="K314" s="389"/>
      <c r="L314" s="389"/>
      <c r="M314" s="389"/>
      <c r="N314" s="389"/>
      <c r="O314" s="389"/>
      <c r="P314" s="389"/>
      <c r="Q314" s="389"/>
      <c r="R314" s="540"/>
      <c r="S314" s="540"/>
      <c r="T314" s="540"/>
      <c r="U314" s="540"/>
    </row>
    <row r="315" spans="1:21" hidden="1">
      <c r="A315" s="396"/>
      <c r="B315" s="338">
        <f t="shared" si="35"/>
        <v>-2.5</v>
      </c>
      <c r="C315" s="488" t="s">
        <v>462</v>
      </c>
      <c r="D315" s="385">
        <f>Lead!$Q$27</f>
        <v>0.13614999999999999</v>
      </c>
      <c r="E315" s="399">
        <f t="shared" si="36"/>
        <v>0</v>
      </c>
      <c r="F315" s="399">
        <f t="shared" si="37"/>
        <v>11947.43</v>
      </c>
      <c r="G315" s="382">
        <f t="shared" si="38"/>
        <v>-33935.18</v>
      </c>
      <c r="H315" s="382"/>
      <c r="I315" s="382"/>
      <c r="J315" s="389"/>
      <c r="K315" s="389"/>
      <c r="L315" s="389"/>
      <c r="M315" s="389"/>
      <c r="N315" s="389"/>
      <c r="O315" s="389"/>
      <c r="P315" s="389"/>
      <c r="Q315" s="389"/>
      <c r="R315" s="540"/>
      <c r="S315" s="540"/>
      <c r="T315" s="540"/>
      <c r="U315" s="540"/>
    </row>
    <row r="316" spans="1:21" hidden="1">
      <c r="A316" s="396"/>
      <c r="B316" s="338">
        <f t="shared" si="35"/>
        <v>-2</v>
      </c>
      <c r="C316" s="488" t="s">
        <v>463</v>
      </c>
      <c r="D316" s="385">
        <f>Lead!$Q$27</f>
        <v>0.13614999999999999</v>
      </c>
      <c r="E316" s="399">
        <f t="shared" si="36"/>
        <v>0</v>
      </c>
      <c r="F316" s="399">
        <f t="shared" si="37"/>
        <v>11947.43</v>
      </c>
      <c r="G316" s="382">
        <f t="shared" si="38"/>
        <v>-27148.15</v>
      </c>
      <c r="H316" s="382"/>
      <c r="I316" s="382"/>
      <c r="J316" s="389"/>
      <c r="K316" s="389"/>
      <c r="L316" s="389"/>
      <c r="M316" s="389"/>
      <c r="N316" s="389"/>
      <c r="O316" s="389"/>
      <c r="P316" s="389"/>
      <c r="Q316" s="389"/>
      <c r="R316" s="540"/>
      <c r="S316" s="540"/>
      <c r="T316" s="540"/>
      <c r="U316" s="540"/>
    </row>
    <row r="317" spans="1:21" hidden="1">
      <c r="A317" s="396"/>
      <c r="B317" s="338">
        <f t="shared" si="35"/>
        <v>-1.5</v>
      </c>
      <c r="C317" s="488" t="s">
        <v>464</v>
      </c>
      <c r="D317" s="385">
        <f>Lead!$Q$27</f>
        <v>0.13614999999999999</v>
      </c>
      <c r="E317" s="399">
        <f t="shared" si="36"/>
        <v>0</v>
      </c>
      <c r="F317" s="399">
        <f t="shared" si="37"/>
        <v>11947.43</v>
      </c>
      <c r="G317" s="382">
        <f t="shared" si="38"/>
        <v>-20361.11</v>
      </c>
      <c r="H317" s="382"/>
      <c r="I317" s="382"/>
      <c r="J317" s="389"/>
      <c r="K317" s="389"/>
      <c r="L317" s="389"/>
      <c r="M317" s="389"/>
      <c r="N317" s="389"/>
      <c r="O317" s="389"/>
      <c r="P317" s="389"/>
      <c r="Q317" s="389"/>
      <c r="R317" s="540"/>
      <c r="S317" s="540"/>
      <c r="T317" s="540"/>
      <c r="U317" s="540"/>
    </row>
    <row r="318" spans="1:21" hidden="1">
      <c r="A318" s="396"/>
      <c r="B318" s="338">
        <f t="shared" si="35"/>
        <v>-1</v>
      </c>
      <c r="C318" s="488" t="s">
        <v>465</v>
      </c>
      <c r="D318" s="385">
        <f>Lead!$Q$27</f>
        <v>0.13614999999999999</v>
      </c>
      <c r="E318" s="399">
        <f t="shared" si="36"/>
        <v>0</v>
      </c>
      <c r="F318" s="399">
        <f t="shared" si="37"/>
        <v>11947.43</v>
      </c>
      <c r="G318" s="382">
        <f t="shared" si="38"/>
        <v>-13574.07</v>
      </c>
      <c r="H318" s="382"/>
      <c r="I318" s="382"/>
      <c r="J318" s="389"/>
      <c r="K318" s="389"/>
      <c r="L318" s="389"/>
      <c r="M318" s="389"/>
      <c r="N318" s="389"/>
      <c r="O318" s="389"/>
      <c r="P318" s="389"/>
      <c r="Q318" s="389"/>
      <c r="R318" s="540"/>
      <c r="S318" s="540"/>
      <c r="T318" s="540"/>
      <c r="U318" s="540"/>
    </row>
    <row r="319" spans="1:21" hidden="1">
      <c r="A319" s="396"/>
      <c r="B319" s="338">
        <f>B320-0.5</f>
        <v>-0.5</v>
      </c>
      <c r="C319" s="488" t="s">
        <v>466</v>
      </c>
      <c r="D319" s="385">
        <f>Lead!$Q$27</f>
        <v>0.13614999999999999</v>
      </c>
      <c r="E319" s="399">
        <f t="shared" si="36"/>
        <v>0</v>
      </c>
      <c r="F319" s="399">
        <f t="shared" si="37"/>
        <v>11947.43</v>
      </c>
      <c r="G319" s="382">
        <f t="shared" si="38"/>
        <v>-6787.04</v>
      </c>
      <c r="H319" s="382"/>
      <c r="I319" s="382"/>
      <c r="J319" s="389"/>
      <c r="K319" s="389"/>
      <c r="L319" s="389"/>
      <c r="M319" s="389"/>
      <c r="N319" s="389"/>
      <c r="O319" s="389"/>
      <c r="P319" s="389"/>
      <c r="Q319" s="389"/>
      <c r="R319" s="540"/>
      <c r="S319" s="540"/>
      <c r="T319" s="540"/>
      <c r="U319" s="540"/>
    </row>
    <row r="320" spans="1:21" hidden="1">
      <c r="A320" s="396"/>
      <c r="B320" s="338">
        <v>0</v>
      </c>
      <c r="C320" s="488" t="s">
        <v>467</v>
      </c>
      <c r="D320" s="385">
        <f>Lead!$Q$27</f>
        <v>0.13614999999999999</v>
      </c>
      <c r="E320" s="399">
        <f t="shared" si="36"/>
        <v>0</v>
      </c>
      <c r="F320" s="399">
        <f t="shared" si="37"/>
        <v>11947.43</v>
      </c>
      <c r="G320" s="382">
        <f t="shared" si="38"/>
        <v>0</v>
      </c>
      <c r="H320" s="382"/>
      <c r="I320" s="382"/>
      <c r="J320" s="389"/>
      <c r="K320" s="389"/>
      <c r="L320" s="389"/>
      <c r="M320" s="389"/>
      <c r="N320" s="389"/>
      <c r="O320" s="389"/>
      <c r="P320" s="389"/>
      <c r="Q320" s="389"/>
      <c r="R320" s="540"/>
      <c r="S320" s="540"/>
      <c r="T320" s="540"/>
      <c r="U320" s="540"/>
    </row>
    <row r="321" spans="1:34" hidden="1">
      <c r="A321" s="396"/>
      <c r="B321" s="338">
        <f>B320+0.5</f>
        <v>0.5</v>
      </c>
      <c r="C321" s="488" t="s">
        <v>468</v>
      </c>
      <c r="D321" s="385">
        <f>Lead!$Q$27</f>
        <v>0.13614999999999999</v>
      </c>
      <c r="E321" s="399">
        <f t="shared" si="36"/>
        <v>0</v>
      </c>
      <c r="F321" s="399">
        <f t="shared" si="37"/>
        <v>11947.43</v>
      </c>
      <c r="G321" s="382">
        <f t="shared" si="38"/>
        <v>6787.04</v>
      </c>
      <c r="H321" s="382"/>
      <c r="I321" s="382"/>
      <c r="J321" s="389"/>
      <c r="K321" s="389"/>
      <c r="L321" s="389"/>
      <c r="M321" s="389"/>
      <c r="N321" s="389"/>
      <c r="O321" s="389"/>
      <c r="P321" s="389"/>
      <c r="Q321" s="389"/>
      <c r="R321" s="540"/>
      <c r="S321" s="540"/>
      <c r="T321" s="540"/>
      <c r="U321" s="540"/>
    </row>
    <row r="322" spans="1:34" hidden="1">
      <c r="A322" s="396"/>
      <c r="B322" s="338">
        <f t="shared" ref="B322:B328" si="39">B321+0.5</f>
        <v>1</v>
      </c>
      <c r="C322" s="488" t="s">
        <v>469</v>
      </c>
      <c r="D322" s="385">
        <f>Lead!$Q$27</f>
        <v>0.13614999999999999</v>
      </c>
      <c r="E322" s="399">
        <f t="shared" si="36"/>
        <v>0</v>
      </c>
      <c r="F322" s="399">
        <f t="shared" si="37"/>
        <v>11947.43</v>
      </c>
      <c r="G322" s="382">
        <f t="shared" si="38"/>
        <v>13574.07</v>
      </c>
      <c r="H322" s="382"/>
      <c r="I322" s="382"/>
      <c r="J322" s="389"/>
      <c r="K322" s="389"/>
      <c r="L322" s="389"/>
      <c r="M322" s="389"/>
      <c r="N322" s="389"/>
      <c r="O322" s="389"/>
      <c r="P322" s="389"/>
      <c r="Q322" s="389"/>
      <c r="R322" s="540"/>
      <c r="S322" s="540"/>
      <c r="T322" s="540"/>
      <c r="U322" s="540"/>
    </row>
    <row r="323" spans="1:34" hidden="1">
      <c r="A323" s="396"/>
      <c r="B323" s="338">
        <f t="shared" si="39"/>
        <v>1.5</v>
      </c>
      <c r="C323" s="488" t="s">
        <v>470</v>
      </c>
      <c r="D323" s="385">
        <f>Lead!$Q$27</f>
        <v>0.13614999999999999</v>
      </c>
      <c r="E323" s="399">
        <f t="shared" si="36"/>
        <v>0</v>
      </c>
      <c r="F323" s="399">
        <f t="shared" si="37"/>
        <v>11947.43</v>
      </c>
      <c r="G323" s="382">
        <f t="shared" si="38"/>
        <v>20361.11</v>
      </c>
      <c r="H323" s="382"/>
      <c r="I323" s="382"/>
      <c r="J323" s="389"/>
      <c r="K323" s="389"/>
      <c r="L323" s="389"/>
      <c r="M323" s="389"/>
      <c r="N323" s="389"/>
      <c r="O323" s="389"/>
      <c r="P323" s="389"/>
      <c r="Q323" s="389"/>
      <c r="R323" s="540"/>
      <c r="S323" s="540"/>
      <c r="T323" s="540"/>
      <c r="U323" s="540"/>
    </row>
    <row r="324" spans="1:34" hidden="1">
      <c r="A324" s="396"/>
      <c r="B324" s="338">
        <f t="shared" si="39"/>
        <v>2</v>
      </c>
      <c r="C324" s="488" t="s">
        <v>471</v>
      </c>
      <c r="D324" s="385">
        <f>Lead!$Q$27</f>
        <v>0.13614999999999999</v>
      </c>
      <c r="E324" s="399">
        <f t="shared" si="36"/>
        <v>0</v>
      </c>
      <c r="F324" s="399">
        <f t="shared" si="37"/>
        <v>11947.43</v>
      </c>
      <c r="G324" s="382">
        <f t="shared" si="38"/>
        <v>27148.15</v>
      </c>
      <c r="H324" s="382"/>
      <c r="I324" s="382"/>
      <c r="J324" s="389"/>
      <c r="K324" s="389"/>
      <c r="L324" s="389"/>
      <c r="M324" s="389"/>
      <c r="N324" s="389"/>
      <c r="O324" s="389"/>
      <c r="P324" s="389"/>
      <c r="Q324" s="389"/>
      <c r="R324" s="540"/>
      <c r="S324" s="540"/>
      <c r="T324" s="540"/>
      <c r="U324" s="540"/>
    </row>
    <row r="325" spans="1:34" hidden="1">
      <c r="A325" s="396"/>
      <c r="B325" s="338">
        <f t="shared" si="39"/>
        <v>2.5</v>
      </c>
      <c r="C325" s="488" t="s">
        <v>472</v>
      </c>
      <c r="D325" s="385">
        <f>Lead!$Q$27</f>
        <v>0.13614999999999999</v>
      </c>
      <c r="E325" s="399">
        <f t="shared" si="36"/>
        <v>0</v>
      </c>
      <c r="F325" s="399">
        <f t="shared" si="37"/>
        <v>11947.43</v>
      </c>
      <c r="G325" s="382">
        <f t="shared" si="38"/>
        <v>33935.18</v>
      </c>
      <c r="H325" s="382"/>
      <c r="I325" s="382"/>
      <c r="J325" s="389"/>
      <c r="K325" s="389"/>
      <c r="L325" s="389"/>
      <c r="M325" s="389"/>
      <c r="N325" s="389"/>
      <c r="O325" s="389"/>
      <c r="P325" s="389"/>
      <c r="Q325" s="389"/>
      <c r="R325" s="540"/>
      <c r="S325" s="540"/>
      <c r="T325" s="540"/>
      <c r="U325" s="540"/>
    </row>
    <row r="326" spans="1:34" hidden="1">
      <c r="A326" s="396"/>
      <c r="B326" s="338">
        <f t="shared" si="39"/>
        <v>3</v>
      </c>
      <c r="C326" s="488" t="s">
        <v>473</v>
      </c>
      <c r="D326" s="385">
        <f>Lead!$Q$27</f>
        <v>0.13614999999999999</v>
      </c>
      <c r="E326" s="399">
        <f t="shared" si="36"/>
        <v>0</v>
      </c>
      <c r="F326" s="399">
        <f t="shared" si="37"/>
        <v>11947.43</v>
      </c>
      <c r="G326" s="382">
        <f t="shared" si="38"/>
        <v>40722.22</v>
      </c>
      <c r="H326" s="382"/>
      <c r="I326" s="382"/>
      <c r="J326" s="389"/>
      <c r="K326" s="389"/>
      <c r="L326" s="389"/>
      <c r="M326" s="389"/>
      <c r="N326" s="389"/>
      <c r="O326" s="389"/>
      <c r="P326" s="389"/>
      <c r="Q326" s="389"/>
      <c r="R326" s="540"/>
      <c r="S326" s="540"/>
      <c r="T326" s="540"/>
      <c r="U326" s="540"/>
    </row>
    <row r="327" spans="1:34" hidden="1">
      <c r="A327" s="396"/>
      <c r="B327" s="338">
        <f t="shared" si="39"/>
        <v>3.5</v>
      </c>
      <c r="C327" s="488" t="s">
        <v>474</v>
      </c>
      <c r="D327" s="385">
        <f>Lead!$Q$27</f>
        <v>0.13614999999999999</v>
      </c>
      <c r="E327" s="399">
        <f t="shared" si="36"/>
        <v>0</v>
      </c>
      <c r="F327" s="399">
        <f t="shared" si="37"/>
        <v>11947.43</v>
      </c>
      <c r="G327" s="382">
        <f t="shared" si="38"/>
        <v>47509.25</v>
      </c>
      <c r="H327" s="382"/>
      <c r="I327" s="382"/>
      <c r="J327" s="389"/>
      <c r="K327" s="389"/>
      <c r="L327" s="389"/>
      <c r="M327" s="389"/>
      <c r="N327" s="389"/>
      <c r="O327" s="389"/>
      <c r="P327" s="389"/>
      <c r="Q327" s="389"/>
      <c r="R327" s="540"/>
      <c r="S327" s="540"/>
      <c r="T327" s="540"/>
      <c r="U327" s="540"/>
    </row>
    <row r="328" spans="1:34" hidden="1">
      <c r="A328" s="396"/>
      <c r="B328" s="338">
        <f t="shared" si="39"/>
        <v>4</v>
      </c>
      <c r="C328" s="488" t="s">
        <v>513</v>
      </c>
      <c r="D328" s="385">
        <f>Lead!$Q$27</f>
        <v>0.13614999999999999</v>
      </c>
      <c r="E328" s="399">
        <f t="shared" si="36"/>
        <v>0</v>
      </c>
      <c r="F328" s="399">
        <f t="shared" si="37"/>
        <v>11947.43</v>
      </c>
      <c r="G328" s="382">
        <f>ROUND((E328+B328*F328)+(E328+B328*F328)*D328,2)</f>
        <v>54296.29</v>
      </c>
      <c r="H328" s="382"/>
      <c r="I328" s="382"/>
      <c r="J328" s="389"/>
      <c r="K328" s="389"/>
      <c r="L328" s="389"/>
      <c r="M328" s="389"/>
      <c r="N328" s="389"/>
      <c r="O328" s="389"/>
      <c r="P328" s="389"/>
      <c r="Q328" s="389"/>
      <c r="R328" s="540"/>
      <c r="S328" s="540"/>
      <c r="T328" s="540"/>
      <c r="U328" s="540"/>
    </row>
    <row r="329" spans="1:34" ht="204" hidden="1">
      <c r="A329" s="396"/>
      <c r="B329" s="386">
        <v>11</v>
      </c>
      <c r="C329" s="492" t="s">
        <v>1243</v>
      </c>
      <c r="D329" s="338"/>
      <c r="E329" s="399"/>
      <c r="F329" s="472"/>
      <c r="G329" s="414"/>
      <c r="H329" s="1600" t="s">
        <v>446</v>
      </c>
      <c r="I329" s="1601"/>
      <c r="J329" s="1600" t="s">
        <v>440</v>
      </c>
      <c r="K329" s="1601"/>
      <c r="L329" s="1602" t="s">
        <v>439</v>
      </c>
      <c r="M329" s="1605"/>
      <c r="N329" s="1600" t="s">
        <v>717</v>
      </c>
      <c r="O329" s="1601"/>
      <c r="P329" s="1600" t="s">
        <v>718</v>
      </c>
      <c r="Q329" s="1601"/>
      <c r="R329" s="1600" t="s">
        <v>759</v>
      </c>
      <c r="S329" s="1601"/>
      <c r="T329" s="1600" t="s">
        <v>760</v>
      </c>
      <c r="U329" s="1601"/>
      <c r="V329" s="966"/>
      <c r="W329" s="966"/>
      <c r="X329" s="966"/>
      <c r="Y329" s="966"/>
      <c r="Z329" s="966"/>
      <c r="AA329" s="966"/>
      <c r="AB329" s="966"/>
      <c r="AC329" s="966"/>
      <c r="AD329" s="966"/>
      <c r="AE329" s="966"/>
      <c r="AF329" s="966"/>
      <c r="AG329" s="966"/>
      <c r="AH329" s="966"/>
    </row>
    <row r="330" spans="1:34" hidden="1">
      <c r="A330" s="396"/>
      <c r="B330" s="386"/>
      <c r="C330" s="474" t="s">
        <v>857</v>
      </c>
      <c r="D330" s="338">
        <v>1.5</v>
      </c>
      <c r="E330" s="399" t="s">
        <v>862</v>
      </c>
      <c r="F330" s="472">
        <v>0.3</v>
      </c>
      <c r="G330" s="414"/>
      <c r="H330" s="603" t="s">
        <v>856</v>
      </c>
      <c r="I330" s="604">
        <v>0.24399999999999999</v>
      </c>
      <c r="J330" s="603" t="s">
        <v>856</v>
      </c>
      <c r="K330" s="604">
        <v>0.31</v>
      </c>
      <c r="L330" s="603" t="s">
        <v>856</v>
      </c>
      <c r="M330" s="604">
        <v>0.4</v>
      </c>
      <c r="N330" s="603" t="s">
        <v>856</v>
      </c>
      <c r="O330" s="604">
        <v>0.57999999999999996</v>
      </c>
      <c r="P330" s="603" t="s">
        <v>856</v>
      </c>
      <c r="Q330" s="604">
        <v>0.77</v>
      </c>
      <c r="R330" s="603" t="s">
        <v>867</v>
      </c>
      <c r="S330" s="604">
        <v>0.99</v>
      </c>
      <c r="T330" s="603" t="s">
        <v>867</v>
      </c>
      <c r="U330" s="604">
        <v>1.23</v>
      </c>
      <c r="V330" s="967"/>
      <c r="W330" s="967"/>
      <c r="X330" s="967"/>
      <c r="Y330" s="967"/>
      <c r="Z330" s="967"/>
      <c r="AA330" s="967"/>
      <c r="AB330" s="967"/>
      <c r="AC330" s="967"/>
      <c r="AD330" s="967"/>
      <c r="AE330" s="967"/>
      <c r="AF330" s="967"/>
      <c r="AG330" s="967"/>
      <c r="AH330" s="967"/>
    </row>
    <row r="331" spans="1:34" hidden="1">
      <c r="A331" s="396"/>
      <c r="B331" s="386"/>
      <c r="C331" s="474" t="s">
        <v>858</v>
      </c>
      <c r="D331" s="338">
        <v>1.4</v>
      </c>
      <c r="E331" s="399" t="s">
        <v>859</v>
      </c>
      <c r="F331" s="472">
        <v>0.23</v>
      </c>
      <c r="G331" s="414"/>
      <c r="H331" s="603"/>
      <c r="I331" s="604"/>
      <c r="J331" s="603"/>
      <c r="K331" s="604"/>
      <c r="L331" s="603"/>
      <c r="M331" s="604"/>
      <c r="N331" s="603"/>
      <c r="O331" s="604"/>
      <c r="P331" s="603"/>
      <c r="Q331" s="604"/>
      <c r="R331" s="706"/>
      <c r="S331" s="707"/>
      <c r="T331" s="706"/>
      <c r="U331" s="707"/>
      <c r="V331" s="966"/>
      <c r="W331" s="966"/>
      <c r="X331" s="966"/>
      <c r="Y331" s="966"/>
      <c r="Z331" s="966"/>
      <c r="AA331" s="966"/>
      <c r="AB331" s="966"/>
      <c r="AC331" s="966"/>
      <c r="AD331" s="966"/>
      <c r="AE331" s="966"/>
      <c r="AF331" s="966"/>
      <c r="AG331" s="966"/>
      <c r="AH331" s="966"/>
    </row>
    <row r="332" spans="1:34" hidden="1">
      <c r="A332" s="396"/>
      <c r="B332" s="386"/>
      <c r="C332" s="474" t="s">
        <v>860</v>
      </c>
      <c r="D332" s="338">
        <v>0.1</v>
      </c>
      <c r="E332" s="399" t="s">
        <v>861</v>
      </c>
      <c r="F332" s="472">
        <v>0.23</v>
      </c>
      <c r="G332" s="414"/>
      <c r="H332" s="603"/>
      <c r="I332" s="604"/>
      <c r="J332" s="603"/>
      <c r="K332" s="604"/>
      <c r="L332" s="603"/>
      <c r="M332" s="604"/>
      <c r="N332" s="603"/>
      <c r="O332" s="604"/>
      <c r="P332" s="603"/>
      <c r="Q332" s="604"/>
      <c r="R332" s="706"/>
      <c r="S332" s="707"/>
      <c r="T332" s="706"/>
      <c r="U332" s="707"/>
      <c r="V332" s="966"/>
      <c r="W332" s="966"/>
      <c r="X332" s="966"/>
      <c r="Y332" s="966"/>
      <c r="Z332" s="966"/>
      <c r="AA332" s="966"/>
      <c r="AB332" s="966"/>
      <c r="AC332" s="966"/>
      <c r="AD332" s="966"/>
      <c r="AE332" s="966"/>
      <c r="AF332" s="966"/>
      <c r="AG332" s="966"/>
      <c r="AH332" s="966"/>
    </row>
    <row r="333" spans="1:34" hidden="1">
      <c r="A333" s="396"/>
      <c r="B333" s="386"/>
      <c r="C333" s="474" t="s">
        <v>865</v>
      </c>
      <c r="D333" s="338">
        <v>0.9</v>
      </c>
      <c r="E333" s="399" t="s">
        <v>866</v>
      </c>
      <c r="F333" s="472">
        <v>0.35</v>
      </c>
      <c r="G333" s="414"/>
      <c r="H333" s="603"/>
      <c r="I333" s="604"/>
      <c r="J333" s="603"/>
      <c r="K333" s="604"/>
      <c r="L333" s="603"/>
      <c r="M333" s="604"/>
      <c r="N333" s="603"/>
      <c r="O333" s="604"/>
      <c r="P333" s="603"/>
      <c r="Q333" s="604"/>
      <c r="R333" s="706"/>
      <c r="S333" s="707"/>
      <c r="T333" s="706"/>
      <c r="U333" s="707"/>
      <c r="V333" s="966"/>
      <c r="W333" s="966"/>
      <c r="X333" s="966"/>
      <c r="Y333" s="966"/>
      <c r="Z333" s="966"/>
      <c r="AA333" s="966"/>
      <c r="AB333" s="966"/>
      <c r="AC333" s="966"/>
      <c r="AD333" s="966"/>
      <c r="AE333" s="966"/>
      <c r="AF333" s="966"/>
      <c r="AG333" s="966"/>
      <c r="AH333" s="966"/>
    </row>
    <row r="334" spans="1:34" hidden="1">
      <c r="A334" s="396"/>
      <c r="B334" s="386"/>
      <c r="C334" s="474" t="s">
        <v>863</v>
      </c>
      <c r="D334" s="338">
        <v>0.56000000000000005</v>
      </c>
      <c r="E334" s="399"/>
      <c r="F334" s="472"/>
      <c r="G334" s="414"/>
      <c r="H334" s="603"/>
      <c r="I334" s="604"/>
      <c r="J334" s="603"/>
      <c r="K334" s="604"/>
      <c r="L334" s="603"/>
      <c r="M334" s="604"/>
      <c r="N334" s="603"/>
      <c r="O334" s="604"/>
      <c r="P334" s="603"/>
      <c r="Q334" s="604"/>
      <c r="R334" s="706"/>
      <c r="S334" s="707"/>
      <c r="T334" s="706"/>
      <c r="U334" s="707"/>
      <c r="V334" s="966"/>
      <c r="W334" s="966"/>
      <c r="X334" s="966"/>
      <c r="Y334" s="966"/>
      <c r="Z334" s="966"/>
      <c r="AA334" s="966"/>
      <c r="AB334" s="966"/>
      <c r="AC334" s="966"/>
      <c r="AD334" s="966"/>
      <c r="AE334" s="966"/>
      <c r="AF334" s="966"/>
      <c r="AG334" s="966"/>
      <c r="AH334" s="966"/>
    </row>
    <row r="335" spans="1:34" ht="25.5" hidden="1">
      <c r="A335" s="396"/>
      <c r="B335" s="386"/>
      <c r="C335" s="474" t="str">
        <f>CONCATENATE("CC in CM( 1:4:8) PI/4x(0.9+0.46+0.3)x0.15=",E335)</f>
        <v>CC in CM( 1:4:8) PI/4x(0.9+0.46+0.3)x0.15=1.47262155637022</v>
      </c>
      <c r="D335" s="338" t="s">
        <v>109</v>
      </c>
      <c r="E335" s="489">
        <f t="shared" ref="E335:E340" si="40">M335</f>
        <v>1.4726215563702156</v>
      </c>
      <c r="F335" s="472">
        <f>F288</f>
        <v>5383.2900000000009</v>
      </c>
      <c r="G335" s="477">
        <f t="shared" ref="G335:G341" si="41">+ROUND(E335*F335,2)</f>
        <v>7927.55</v>
      </c>
      <c r="H335" s="477"/>
      <c r="I335" s="477">
        <f>(PI()/4)*(($D$330+(2*$F$333))+0.3)^2*$F$330</f>
        <v>1.4726215563702156</v>
      </c>
      <c r="J335" s="477"/>
      <c r="K335" s="477">
        <f>(PI()/4)*(($D$330+(2*$F$333))+0.3)^2*$F$330</f>
        <v>1.4726215563702156</v>
      </c>
      <c r="L335" s="477"/>
      <c r="M335" s="477">
        <f>(PI()/4)*(($D$330+(2*$F$333))+0.3)^2*$F$330</f>
        <v>1.4726215563702156</v>
      </c>
      <c r="N335" s="477"/>
      <c r="O335" s="477">
        <f>(PI()/4)*(($D$330+(2*$F$333))+0.3)^2*$F$330</f>
        <v>1.4726215563702156</v>
      </c>
      <c r="P335" s="477"/>
      <c r="Q335" s="477">
        <f>(PI()/4)*(($D$330+(2*$F$333))+0.3)^2*$F$330</f>
        <v>1.4726215563702156</v>
      </c>
      <c r="R335" s="477"/>
      <c r="S335" s="477">
        <f>(PI()/4)*(($D$330+(2*$F$333))+0.3)^2*$F$330</f>
        <v>1.4726215563702156</v>
      </c>
      <c r="T335" s="477"/>
      <c r="U335" s="477">
        <f>(PI()/4)*(($D$330+(2*$F$333))+0.3)^2*$F$330</f>
        <v>1.4726215563702156</v>
      </c>
      <c r="V335" s="447"/>
      <c r="W335" s="447"/>
      <c r="X335" s="447"/>
      <c r="Y335" s="447"/>
      <c r="Z335" s="447"/>
      <c r="AA335" s="447"/>
      <c r="AB335" s="447"/>
      <c r="AC335" s="447"/>
      <c r="AD335" s="447"/>
      <c r="AE335" s="447"/>
      <c r="AF335" s="447"/>
      <c r="AG335" s="447"/>
      <c r="AH335" s="447"/>
    </row>
    <row r="336" spans="1:34" ht="51" hidden="1">
      <c r="A336" s="396"/>
      <c r="B336" s="386"/>
      <c r="C336" s="474" t="str">
        <f>CONCATENATE("2nd Class Brick Masonory in cm (1: 6) Prop using 2nd class bricks for Uniform Section( PIx1.13x0.23x0.4)-(PI/4*0.23*0.23*.23*2)=",E336)</f>
        <v>2nd Class Brick Masonory in cm (1: 6) Prop using 2nd class bricks for Uniform Section( PIx1.13x0.23x0.4)-(PI/4*0.23*0.23*.23*2)=1.82976709056579</v>
      </c>
      <c r="D336" s="338" t="s">
        <v>109</v>
      </c>
      <c r="E336" s="489">
        <f t="shared" si="40"/>
        <v>1.8297670905657899</v>
      </c>
      <c r="F336" s="472">
        <f>F289</f>
        <v>8504.4699999999993</v>
      </c>
      <c r="G336" s="477">
        <f t="shared" si="41"/>
        <v>15561.2</v>
      </c>
      <c r="H336" s="479">
        <f>ROUND(PI()/4*I330*I330*(($D$333/I330)*$F$333+(((I330-$D$333)/I330)*$F$332))*2,3)</f>
        <v>6.3E-2</v>
      </c>
      <c r="I336" s="479">
        <f>(PI()*($D$330+$F$333)*$F$333*$D$333)+(PI()*($D$330+$F$332)*$F$332*$D$332)-H336</f>
        <v>1.8927670905657898</v>
      </c>
      <c r="J336" s="479">
        <f>ROUND(PI()/4*K330*K330*(($D$333/K330)*$F$333+(((K330-$D$333)/K330)*$F$332))*2,3)</f>
        <v>8.6999999999999994E-2</v>
      </c>
      <c r="K336" s="479">
        <f>(PI()*($D$330+$F$333)*$F$333*$D$333)+(PI()*($D$330+$F$332)*$F$332*$D$332)-J336</f>
        <v>1.8687670905657898</v>
      </c>
      <c r="L336" s="479">
        <f>ROUND(PI()/4*M330*M330*(($D$333/M330)*$F$333+(((M330-$D$333)/M330)*$F$332))*2,3)</f>
        <v>0.126</v>
      </c>
      <c r="M336" s="479">
        <f>(PI()*($D$330+$F$333)*$F$333*$D$333)+(PI()*($D$330+$F$332)*$F$332*$D$332)-L336</f>
        <v>1.8297670905657899</v>
      </c>
      <c r="N336" s="479">
        <f>ROUND(PI()/4*O330*O330*(($D$333/O330)*$F$333+(((O330-$D$333)/O330)*$F$332))*2,3)</f>
        <v>0.22</v>
      </c>
      <c r="O336" s="479">
        <f>(PI()*($D$330+$F$333)*$F$333*$D$333)+(PI()*($D$330+$F$332)*$F$332*$D$332)-N336</f>
        <v>1.7357670905657898</v>
      </c>
      <c r="P336" s="479">
        <f>ROUND(PI()/4*Q330*Q330*(($D$333/Q330)*$F$333+(((Q330-$D$333)/Q330)*$F$332))*2,3)</f>
        <v>0.34499999999999997</v>
      </c>
      <c r="Q336" s="479">
        <f>(PI()*($D$330+$F$333)*$F$333*$D$333)+(PI()*($D$330+$F$332)*$F$332*$D$332)-P336</f>
        <v>1.6107670905657898</v>
      </c>
      <c r="R336" s="479">
        <f>ROUND(PI()/4*S330*S330*(($D$333/S330)*$F$333+(((S330-$D$333)/S330)*$F$332))*2,3)</f>
        <v>0.52200000000000002</v>
      </c>
      <c r="S336" s="479">
        <f>(PI()*($D$330+$F$333)*$F$333*$D$333)+(PI()*($D$330+$F$332)*$F$332*$D$332)-R336</f>
        <v>1.4337670905657898</v>
      </c>
      <c r="T336" s="479">
        <f>ROUND(PI()/4*U330*U330*(($D$333/U330)*$F$333+(((U330-$D$333)/U330)*$F$332))*2,3)</f>
        <v>0.755</v>
      </c>
      <c r="U336" s="479">
        <f>(PI()*($D$330+$F$333)*$F$333*$D$333)+(PI()*($D$330+$F$332)*$F$332*$D$332)-T336</f>
        <v>1.2007670905657899</v>
      </c>
      <c r="V336" s="465"/>
      <c r="W336" s="465"/>
      <c r="X336" s="465"/>
      <c r="Y336" s="465"/>
      <c r="Z336" s="465"/>
      <c r="AA336" s="465"/>
      <c r="AB336" s="465"/>
      <c r="AC336" s="465"/>
      <c r="AD336" s="465"/>
      <c r="AE336" s="465"/>
      <c r="AF336" s="465"/>
      <c r="AG336" s="465"/>
      <c r="AH336" s="465"/>
    </row>
    <row r="337" spans="1:34" ht="51" hidden="1">
      <c r="A337" s="396"/>
      <c r="B337" s="386"/>
      <c r="C337" s="474" t="str">
        <f>CONCATENATE("2nd Class Brick Masonory work  in cm (1: 6) )Prop using 2nd class bricks for Carbelling Portion Pix(1.13+0.78)/2x0.23x(0.6-.25)=",E337)</f>
        <v>2nd Class Brick Masonory work  in cm (1: 6) )Prop using 2nd class bricks for Carbelling Portion Pix(1.13+0.78)/2x0.23x(0.6-.25)=1.11528109998764</v>
      </c>
      <c r="D337" s="338" t="s">
        <v>109</v>
      </c>
      <c r="E337" s="489">
        <f t="shared" si="40"/>
        <v>1.1152810999876444</v>
      </c>
      <c r="F337" s="472">
        <f>F336</f>
        <v>8504.4699999999993</v>
      </c>
      <c r="G337" s="477">
        <f t="shared" si="41"/>
        <v>9484.8700000000008</v>
      </c>
      <c r="H337" s="389"/>
      <c r="I337" s="389">
        <f>(PI()*(($D$330+$F$331+$D$334+$F$331)/2)*$F$331)*($D$331-0.25)</f>
        <v>1.0469985836618703</v>
      </c>
      <c r="J337" s="389"/>
      <c r="K337" s="389">
        <f>(PI()*(($D$330+$F$331+$D$334+$F$331)/2)*$F$331)*($D$331-0.25)</f>
        <v>1.0469985836618703</v>
      </c>
      <c r="L337" s="493"/>
      <c r="M337" s="389">
        <f>(PI()*(($D$330+$F$331+$D$334+$F$331)/2)*$F$331)*($D$331-0.175)</f>
        <v>1.1152810999876444</v>
      </c>
      <c r="N337" s="389"/>
      <c r="O337" s="389">
        <f>(PI()*(($D$330+$F$331+$D$334+$F$331)/2)*$F$331)*($D$331-0.25)</f>
        <v>1.0469985836618703</v>
      </c>
      <c r="P337" s="389"/>
      <c r="Q337" s="389">
        <f>(PI()*(($D$330+$F$331+$D$334+$F$331)/2)*$F$331)*($D$331-0.25)</f>
        <v>1.0469985836618703</v>
      </c>
      <c r="R337" s="493"/>
      <c r="S337" s="389">
        <f>(PI()*(($D$330+$F$331+$D$334+$F$331)/2)*$F$331)*($D$331-0.25)</f>
        <v>1.0469985836618703</v>
      </c>
      <c r="T337" s="493"/>
      <c r="U337" s="389">
        <f>(PI()*(($D$330+$F$331+$D$334+$F$331)/2)*$F$331)*($D$331-0.25)</f>
        <v>1.0469985836618703</v>
      </c>
      <c r="V337" s="165"/>
      <c r="W337" s="165"/>
      <c r="X337" s="165"/>
      <c r="Y337" s="165"/>
      <c r="Z337" s="165"/>
      <c r="AA337" s="165"/>
      <c r="AB337" s="165"/>
      <c r="AC337" s="165"/>
      <c r="AD337" s="165"/>
      <c r="AE337" s="165"/>
      <c r="AF337" s="165"/>
      <c r="AG337" s="165"/>
      <c r="AH337" s="165"/>
    </row>
    <row r="338" spans="1:34" ht="51" hidden="1">
      <c r="A338" s="396"/>
      <c r="B338" s="386"/>
      <c r="C338" s="970" t="str">
        <f>CONCATENATE("External Plastering in CM(1:4) of 12 mm thick vertical portion Pix(.9+.23*2)x0.40 and sloped portion Pix(1.36+1.01)/2x(0.6-.25)  Dedcut Pipe Portion 2xPI()/4x0.23x0.23=",E338)</f>
        <v>External Plastering in CM(1:4) of 12 mm thick vertical portion Pix(.9+.23*2)x0.40 and sloped portion Pix(1.36+1.01)/2x(0.6-.25)  Dedcut Pipe Portion 2xPI()/4x0.23x0.23=11.9682246261375</v>
      </c>
      <c r="D338" s="338" t="s">
        <v>224</v>
      </c>
      <c r="E338" s="489">
        <f t="shared" si="40"/>
        <v>11.968224626137502</v>
      </c>
      <c r="F338" s="472">
        <f>F291</f>
        <v>170.45499999999998</v>
      </c>
      <c r="G338" s="477">
        <f t="shared" si="41"/>
        <v>2040.04</v>
      </c>
      <c r="H338" s="389">
        <f>ROUND(PI()/4*I330*I330*2,3)</f>
        <v>9.4E-2</v>
      </c>
      <c r="I338" s="389">
        <f>(PI()*($D$330+2*($F$333))*($D$333))+(PI()*($D$330+(2*$F$333))*$D$333)+(PI()*(($D$330+2*($F$331)+$D$334+2*($F$331))/2)*($D$331-0.25))-H338</f>
        <v>17.729825920141693</v>
      </c>
      <c r="J338" s="389">
        <f>ROUND(PI()/4*K330*K330*2,3)</f>
        <v>0.151</v>
      </c>
      <c r="K338" s="389">
        <f>(PI()*($D$330+2*($F$333))*($D$333))+(PI()*($D$330+(2*$F$333))*$D$333)+(PI()*(($D$330+2*($F$331)+$D$334+2*($F$331))/2)*($D$331-0.25))-J338</f>
        <v>17.672825920141694</v>
      </c>
      <c r="L338" s="389">
        <f>ROUND(PI()/4*M330*M330*2,3)</f>
        <v>0.251</v>
      </c>
      <c r="M338" s="389">
        <f>(PI()*($D$330+2*($F$333))*($D$333))+(PI()*($D$330+(2*$F$332))*$D$332)+(PI()*(($D$330+2*($F$331)+$D$334+2*($F$331))/2)*($D$331-0.25))-L338</f>
        <v>11.968224626137502</v>
      </c>
      <c r="N338" s="389">
        <f>ROUND(PI()/4*O330*O330*2,3)</f>
        <v>0.52800000000000002</v>
      </c>
      <c r="O338" s="389">
        <f>(PI()*($D$330+2*($F$333))*($D$333))+(PI()*($D$330+(2*$F$333))*$D$333)+(PI()*(($D$330+2*($F$331)+$D$334+2*($F$331))/2)*($D$331-0.25))-N338</f>
        <v>17.295825920141695</v>
      </c>
      <c r="P338" s="389">
        <f>ROUND(PI()/4*Q330*Q330*2,3)</f>
        <v>0.93100000000000005</v>
      </c>
      <c r="Q338" s="389">
        <f>(PI()*($D$330+2*($F$333))*($D$333))+(PI()*($D$330+(2*$F$333))*$D$333)+(PI()*(($D$330+2*($F$331)+$D$334+2*($F$331))/2)*($D$331-0.25))-P338</f>
        <v>16.892825920141693</v>
      </c>
      <c r="R338" s="389">
        <f>ROUND(PI()/4*S330*S330*2,3)</f>
        <v>1.54</v>
      </c>
      <c r="S338" s="389">
        <f>(PI()*($D$330+2*($F$333))*($D$333))+(PI()*($D$330+(2*$F$333))*$D$333)+(PI()*(($D$330+2*($F$331)+$D$334+2*($F$331))/2)*($D$331-0.25))-R338</f>
        <v>16.283825920141695</v>
      </c>
      <c r="T338" s="389">
        <f>ROUND(PI()/4*U330*U330*2,3)</f>
        <v>2.3759999999999999</v>
      </c>
      <c r="U338" s="389">
        <f>(PI()*($D$330+2*($F$333))*($D$333))+(PI()*($D$330+(2*$F$333))*$D$333)+(PI()*(($D$330+2*($F$331)+$D$334+2*($F$331))/2)*($D$331-0.25))-T338</f>
        <v>15.447825920141694</v>
      </c>
      <c r="V338" s="165"/>
      <c r="W338" s="165"/>
      <c r="X338" s="165"/>
      <c r="Y338" s="165"/>
      <c r="Z338" s="165"/>
      <c r="AA338" s="165"/>
      <c r="AB338" s="165"/>
      <c r="AC338" s="165"/>
      <c r="AD338" s="165"/>
      <c r="AE338" s="165"/>
      <c r="AF338" s="165"/>
      <c r="AG338" s="165"/>
      <c r="AH338" s="165"/>
    </row>
    <row r="339" spans="1:34" ht="51" hidden="1">
      <c r="A339" s="396"/>
      <c r="B339" s="386"/>
      <c r="C339" s="474" t="str">
        <f>CONCATENATE("Internal Plastering in CM(1:4) of 20 mm thick uniform portion PIx0.90x0.4 and Sloped Portion Pix(0.90+0.56)/2x(.6-.25)  Dedcut Pipe Portion 2xPI()/4x0.25x0.25=",E339)</f>
        <v>Internal Plastering in CM(1:4) of 20 mm thick uniform portion PIx0.90x0.4 and Sloped Portion Pix(0.90+0.56)/2x(.6-.25)  Dedcut Pipe Portion 2xPI()/4x0.25x0.25=6.5486054785618</v>
      </c>
      <c r="D339" s="338" t="s">
        <v>224</v>
      </c>
      <c r="E339" s="399">
        <f t="shared" si="40"/>
        <v>6.5486054785617984</v>
      </c>
      <c r="F339" s="472">
        <f>F292</f>
        <v>259.48599999999999</v>
      </c>
      <c r="G339" s="477">
        <f t="shared" si="41"/>
        <v>1699.27</v>
      </c>
      <c r="H339" s="389">
        <f>ROUND(PI()*$D$330*I330,3)</f>
        <v>1.1499999999999999</v>
      </c>
      <c r="I339" s="490">
        <f>((PI()*$D$330*$D$333)+(PI()*($D$330)*$D$332)+(PI()*($D$330+$D$334)/2*($D$331-0.175)))-H339</f>
        <v>7.5262935110516107</v>
      </c>
      <c r="J339" s="389">
        <f>ROUND(PI()*$D$330*K330,3)</f>
        <v>1.4610000000000001</v>
      </c>
      <c r="K339" s="490">
        <f>((PI()*$D$330*$D$333)+(PI()*($D$330)*$D$332)+(PI()*($D$330+$D$334)/2*($D$331-0.175)))-J339</f>
        <v>7.2152935110516108</v>
      </c>
      <c r="L339" s="389">
        <f>ROUND(PI()*$D$330*M330,3)</f>
        <v>1.885</v>
      </c>
      <c r="M339" s="490">
        <f>((PI()*$D$330*$D$333)+(PI()*($D$330)*$D$332)+(PI()*($D$330+$D$334)/2*($D$331-0.25)))-L339</f>
        <v>6.5486054785617984</v>
      </c>
      <c r="N339" s="389">
        <f>ROUND(PI()*$D$330*O330,3)</f>
        <v>2.7330000000000001</v>
      </c>
      <c r="O339" s="490">
        <f>((PI()*$D$330*$D$333)+(PI()*($D$330)*$D$332)+(PI()*($D$330+$D$334)/2*($D$331-0.175)))-N339</f>
        <v>5.9432935110516105</v>
      </c>
      <c r="P339" s="389">
        <f>ROUND(PI()*$D$330*Q330,3)</f>
        <v>3.629</v>
      </c>
      <c r="Q339" s="490">
        <f>((PI()*$D$330*$D$333)+(PI()*($D$330)*$D$332)+(PI()*($D$330+$D$334)/2*($D$331-0.175)))-P339</f>
        <v>5.0472935110516115</v>
      </c>
      <c r="R339" s="389">
        <f>ROUND(PI()*$D$330*S330,3)</f>
        <v>4.665</v>
      </c>
      <c r="S339" s="490">
        <f>((PI()*$D$330*$D$333)+(PI()*($D$330)*$D$332)+(PI()*($D$330+$D$334)/2*($D$331-0.175)))-R339</f>
        <v>4.011293511051611</v>
      </c>
      <c r="T339" s="389">
        <f>ROUND(PI()*$D$330*U330,3)</f>
        <v>5.7960000000000003</v>
      </c>
      <c r="U339" s="490">
        <f>((PI()*$D$330*$D$333)+(PI()*($D$330)*$D$332)+(PI()*($D$330+$D$334)/2*($D$331-0.175)))-T339</f>
        <v>2.8802935110516108</v>
      </c>
      <c r="V339" s="467"/>
      <c r="W339" s="467"/>
      <c r="X339" s="467"/>
      <c r="Y339" s="467"/>
      <c r="Z339" s="467"/>
      <c r="AA339" s="467"/>
      <c r="AB339" s="467"/>
      <c r="AC339" s="467"/>
      <c r="AD339" s="467"/>
      <c r="AE339" s="467"/>
      <c r="AF339" s="467"/>
      <c r="AG339" s="467"/>
      <c r="AH339" s="467"/>
    </row>
    <row r="340" spans="1:34" ht="51" hidden="1">
      <c r="A340" s="396"/>
      <c r="B340" s="386"/>
      <c r="C340" s="473" t="str">
        <f>CONCATENATE("CC Channeling with (1:2.5:5) Prop  PIx0.9x0.9x0.30/4 = over Manhole alround for Cover PIx0.81x0.15x0.10= deduct Channel 0.90x0.25x0.25=",E340)</f>
        <v>CC Channeling with (1:2.5:5) Prop  PIx0.9x0.9x0.30/4 = over Manhole alround for Cover PIx0.81x0.15x0.10= deduct Channel 0.90x0.25x0.25=0.10485926716764</v>
      </c>
      <c r="D340" s="338" t="s">
        <v>109</v>
      </c>
      <c r="E340" s="489">
        <f t="shared" si="40"/>
        <v>0.10485926716764049</v>
      </c>
      <c r="F340" s="472">
        <f>F293</f>
        <v>6018.18</v>
      </c>
      <c r="G340" s="477">
        <f t="shared" si="41"/>
        <v>631.05999999999995</v>
      </c>
      <c r="H340" s="389">
        <f>ROUND($D$330*(PI()/4)*I330*I330,3)</f>
        <v>7.0000000000000007E-2</v>
      </c>
      <c r="I340" s="389">
        <f>(((PI()*$D$330^2/4)*I330)+(PI()*($D$330+$F$331)*$F$333*0.075)+(PI()*(0.71+0.08)*0.08*0.175))-H340</f>
        <v>0.53859718283504865</v>
      </c>
      <c r="J340" s="389">
        <f>ROUND($D$330*(PI()/4)*K330*K330,3)</f>
        <v>0.113</v>
      </c>
      <c r="K340" s="389">
        <f>(((PI()*$D$330^2/4)*K330)+(PI()*($D$330+$F$331)*$F$333*0.075)+(PI()*(0.71+0.08)*0.08*0.175))-J340</f>
        <v>0.61222881009956975</v>
      </c>
      <c r="L340" s="389">
        <f>ROUND($D$330*(PI()/4)*M330*M330,3)</f>
        <v>0.188</v>
      </c>
      <c r="M340" s="389">
        <f>(((PI()*$D$330^2/4)*0.1)+(PI()*($D$334+$F$331)*$F$331*0.1)+(PI()*(0.71+2*0.075+0.08)*0.08*0.25))-L340</f>
        <v>0.10485926716764049</v>
      </c>
      <c r="N340" s="389">
        <f>ROUND($D$330*(PI()/4)*O330*O330,3)</f>
        <v>0.39600000000000002</v>
      </c>
      <c r="O340" s="389">
        <f>(((PI()*$D$330^2/4)*O330)+(PI()*($D$330+$F$331)*$F$333*0.075)+(PI()*(0.71+0.08)*0.08*0.175))-N340</f>
        <v>0.80635819436351952</v>
      </c>
      <c r="P340" s="389">
        <f>ROUND($D$330*(PI()/4)*Q330*Q330,3)</f>
        <v>0.69799999999999995</v>
      </c>
      <c r="Q340" s="389">
        <f>(((PI()*$D$330^2/4)*Q330)+(PI()*($D$330+$F$331)*$F$333*0.075)+(PI()*(0.71+0.08)*0.08*0.175))-P340</f>
        <v>0.84011590921592871</v>
      </c>
      <c r="R340" s="389">
        <f>ROUND($D$330*(PI()/4)*S330*S330,3)</f>
        <v>1.155</v>
      </c>
      <c r="S340" s="389">
        <f>(((PI()*$D$330^2/4)*S330)+(PI()*($D$330+$F$331)*$F$333*0.075)+(PI()*(0.71+0.08)*0.08*0.175))-R340</f>
        <v>0.77188800009766556</v>
      </c>
      <c r="T340" s="389">
        <f>ROUND($D$330*(PI()/4)*U330*U330,3)</f>
        <v>1.782</v>
      </c>
      <c r="U340" s="389">
        <f>(((PI()*$D$330^2/4)*U330)+(PI()*($D$330+$F$331)*$F$333*0.075)+(PI()*(0.71+0.08)*0.08*0.175))-T340</f>
        <v>0.56900300833228767</v>
      </c>
      <c r="V340" s="165"/>
      <c r="W340" s="165"/>
      <c r="X340" s="165"/>
      <c r="Y340" s="165"/>
      <c r="Z340" s="165"/>
      <c r="AA340" s="165"/>
      <c r="AB340" s="165"/>
      <c r="AC340" s="165"/>
      <c r="AD340" s="165"/>
      <c r="AE340" s="165"/>
      <c r="AF340" s="165"/>
      <c r="AG340" s="165"/>
      <c r="AH340" s="165"/>
    </row>
    <row r="341" spans="1:34" hidden="1">
      <c r="A341" s="396"/>
      <c r="B341" s="386"/>
      <c r="C341" s="473" t="s">
        <v>225</v>
      </c>
      <c r="D341" s="338" t="s">
        <v>226</v>
      </c>
      <c r="E341" s="399">
        <v>3</v>
      </c>
      <c r="F341" s="472">
        <f>F294</f>
        <v>81</v>
      </c>
      <c r="G341" s="477">
        <f t="shared" si="41"/>
        <v>243</v>
      </c>
      <c r="H341" s="477"/>
      <c r="I341" s="389"/>
      <c r="J341" s="389"/>
      <c r="K341" s="389"/>
      <c r="L341" s="389"/>
      <c r="M341" s="389"/>
      <c r="N341" s="389"/>
      <c r="O341" s="389"/>
      <c r="P341" s="389"/>
      <c r="Q341" s="389"/>
      <c r="R341" s="540"/>
      <c r="S341" s="540"/>
      <c r="T341" s="540"/>
      <c r="U341" s="540"/>
    </row>
    <row r="342" spans="1:34" hidden="1">
      <c r="A342" s="396"/>
      <c r="B342" s="386"/>
      <c r="C342" s="480" t="s">
        <v>106</v>
      </c>
      <c r="D342" s="338" t="s">
        <v>226</v>
      </c>
      <c r="E342" s="399"/>
      <c r="F342" s="472" t="s">
        <v>154</v>
      </c>
      <c r="G342" s="414">
        <f>SUM(G335:G341)</f>
        <v>37586.99</v>
      </c>
      <c r="H342" s="414"/>
      <c r="I342" s="389"/>
      <c r="J342" s="389"/>
      <c r="K342" s="389"/>
      <c r="L342" s="389"/>
      <c r="M342" s="389"/>
      <c r="N342" s="389"/>
      <c r="O342" s="389"/>
      <c r="P342" s="389"/>
      <c r="Q342" s="389"/>
      <c r="R342" s="540"/>
      <c r="S342" s="540"/>
      <c r="T342" s="540"/>
      <c r="U342" s="540"/>
    </row>
    <row r="343" spans="1:34" hidden="1">
      <c r="A343" s="396"/>
      <c r="B343" s="386"/>
      <c r="C343" s="480"/>
      <c r="D343" s="397"/>
      <c r="E343" s="399"/>
      <c r="F343" s="472"/>
      <c r="G343" s="414"/>
      <c r="H343" s="475"/>
      <c r="I343" s="389"/>
      <c r="J343" s="389"/>
      <c r="K343" s="389"/>
      <c r="L343" s="389"/>
      <c r="M343" s="389"/>
      <c r="N343" s="389"/>
      <c r="O343" s="389"/>
      <c r="P343" s="389"/>
      <c r="Q343" s="389"/>
      <c r="R343" s="657"/>
      <c r="S343" s="657"/>
      <c r="T343" s="657"/>
      <c r="U343" s="657"/>
      <c r="V343" s="197"/>
      <c r="W343" s="197"/>
      <c r="X343" s="197"/>
      <c r="Y343" s="197"/>
      <c r="Z343" s="197"/>
      <c r="AA343" s="197"/>
      <c r="AB343" s="197"/>
      <c r="AC343" s="197"/>
      <c r="AD343" s="197"/>
      <c r="AE343" s="197"/>
      <c r="AF343" s="197"/>
      <c r="AG343" s="197"/>
      <c r="AH343" s="197"/>
    </row>
    <row r="344" spans="1:34" hidden="1">
      <c r="A344" s="396"/>
      <c r="B344" s="386"/>
      <c r="C344" s="481" t="s">
        <v>319</v>
      </c>
      <c r="D344" s="388"/>
      <c r="E344" s="387"/>
      <c r="F344" s="475"/>
      <c r="G344" s="482"/>
      <c r="H344" s="475"/>
      <c r="I344" s="384"/>
      <c r="J344" s="384"/>
      <c r="K344" s="384"/>
      <c r="L344" s="384"/>
      <c r="M344" s="384"/>
      <c r="N344" s="384"/>
      <c r="O344" s="384"/>
      <c r="P344" s="384"/>
      <c r="Q344" s="384"/>
      <c r="R344" s="657"/>
      <c r="S344" s="657"/>
      <c r="T344" s="657"/>
      <c r="U344" s="657"/>
      <c r="V344" s="197"/>
      <c r="W344" s="197"/>
      <c r="X344" s="197"/>
      <c r="Y344" s="197"/>
      <c r="Z344" s="197"/>
      <c r="AA344" s="197"/>
      <c r="AB344" s="197"/>
      <c r="AC344" s="197"/>
      <c r="AD344" s="197"/>
      <c r="AE344" s="197"/>
      <c r="AF344" s="197"/>
      <c r="AG344" s="197"/>
      <c r="AH344" s="197"/>
    </row>
    <row r="345" spans="1:34" hidden="1">
      <c r="A345" s="396"/>
      <c r="B345" s="386"/>
      <c r="C345" s="481" t="s">
        <v>320</v>
      </c>
      <c r="D345" s="388" t="s">
        <v>109</v>
      </c>
      <c r="E345" s="483">
        <f>ROUND(E335*0.9+E340*0.9,2)</f>
        <v>1.42</v>
      </c>
      <c r="F345" s="475">
        <f>Lead!T234</f>
        <v>0</v>
      </c>
      <c r="G345" s="475">
        <v>0</v>
      </c>
      <c r="H345" s="384"/>
      <c r="I345" s="483">
        <f>ROUND(I335*0.9+I340*0.9,2)</f>
        <v>1.81</v>
      </c>
      <c r="J345" s="483"/>
      <c r="K345" s="483">
        <f>ROUND(K335*0.9+K340*0.9,2)</f>
        <v>1.88</v>
      </c>
      <c r="L345" s="384"/>
      <c r="M345" s="483">
        <f>ROUND(M335*0.9+M340*0.9,2)</f>
        <v>1.42</v>
      </c>
      <c r="N345" s="384"/>
      <c r="O345" s="483"/>
      <c r="P345" s="384"/>
      <c r="Q345" s="483"/>
      <c r="R345" s="657"/>
      <c r="S345" s="657"/>
      <c r="T345" s="657"/>
      <c r="U345" s="657"/>
      <c r="V345" s="197"/>
      <c r="W345" s="197"/>
      <c r="X345" s="197"/>
      <c r="Y345" s="197"/>
      <c r="Z345" s="197"/>
      <c r="AA345" s="197"/>
      <c r="AB345" s="197"/>
      <c r="AC345" s="197"/>
      <c r="AD345" s="197"/>
      <c r="AE345" s="197"/>
      <c r="AF345" s="197"/>
      <c r="AG345" s="197"/>
      <c r="AH345" s="197"/>
    </row>
    <row r="346" spans="1:34" hidden="1">
      <c r="A346" s="396"/>
      <c r="B346" s="386"/>
      <c r="C346" s="481" t="s">
        <v>321</v>
      </c>
      <c r="D346" s="388" t="s">
        <v>109</v>
      </c>
      <c r="E346" s="483">
        <f>ROUND((E336+E337)*0.2+(E338*0.015+E339*0.021)+(E335+E340)*0.45,2)</f>
        <v>1.62</v>
      </c>
      <c r="F346" s="475">
        <f>Lead!T227</f>
        <v>0</v>
      </c>
      <c r="G346" s="475">
        <v>0</v>
      </c>
      <c r="H346" s="384"/>
      <c r="I346" s="483">
        <f>ROUND((I336+I337)*0.2+(I338*0.015+I339*0.021)+(I335+I340)*0.45,2)</f>
        <v>1.92</v>
      </c>
      <c r="J346" s="483"/>
      <c r="K346" s="483">
        <f>ROUND((K336+K337)*0.2+(K338*0.015+K339*0.021)+(K335+K340)*0.45,2)</f>
        <v>1.94</v>
      </c>
      <c r="L346" s="384"/>
      <c r="M346" s="483">
        <f>ROUND((M336+M337)*0.2+(M338*0.015+M339*0.021)+(M335+M340)*0.45,2)</f>
        <v>1.62</v>
      </c>
      <c r="N346" s="384"/>
      <c r="O346" s="483"/>
      <c r="P346" s="384"/>
      <c r="Q346" s="483"/>
      <c r="R346" s="247"/>
      <c r="S346" s="247"/>
      <c r="T346" s="247"/>
      <c r="U346" s="247"/>
      <c r="V346" s="157"/>
      <c r="W346" s="157"/>
      <c r="X346" s="157"/>
      <c r="Y346" s="157"/>
      <c r="Z346" s="157"/>
      <c r="AA346" s="157"/>
      <c r="AB346" s="157"/>
      <c r="AC346" s="157"/>
      <c r="AD346" s="157"/>
      <c r="AE346" s="157"/>
      <c r="AF346" s="157"/>
      <c r="AG346" s="157"/>
      <c r="AH346" s="157"/>
    </row>
    <row r="347" spans="1:34" hidden="1">
      <c r="A347" s="396"/>
      <c r="B347" s="386"/>
      <c r="C347" s="481" t="s">
        <v>273</v>
      </c>
      <c r="D347" s="388"/>
      <c r="E347" s="387"/>
      <c r="F347" s="475" t="s">
        <v>154</v>
      </c>
      <c r="G347" s="482">
        <f>SUM(G342:G346)</f>
        <v>37586.99</v>
      </c>
      <c r="H347" s="384"/>
      <c r="I347" s="387"/>
      <c r="J347" s="387"/>
      <c r="K347" s="387"/>
      <c r="L347" s="384"/>
      <c r="M347" s="387"/>
      <c r="N347" s="384"/>
      <c r="O347" s="387"/>
      <c r="P347" s="384"/>
      <c r="Q347" s="387"/>
      <c r="R347" s="540"/>
      <c r="S347" s="540"/>
      <c r="T347" s="540"/>
      <c r="U347" s="540"/>
    </row>
    <row r="348" spans="1:34" hidden="1">
      <c r="A348" s="396"/>
      <c r="B348" s="386"/>
      <c r="C348" s="481"/>
      <c r="D348" s="388"/>
      <c r="E348" s="387"/>
      <c r="F348" s="475"/>
      <c r="G348" s="482"/>
      <c r="H348" s="384"/>
      <c r="I348" s="387"/>
      <c r="J348" s="387"/>
      <c r="K348" s="387"/>
      <c r="L348" s="384"/>
      <c r="M348" s="387"/>
      <c r="N348" s="384"/>
      <c r="O348" s="387"/>
      <c r="P348" s="384"/>
      <c r="Q348" s="387"/>
      <c r="R348" s="540"/>
      <c r="S348" s="540"/>
      <c r="T348" s="540"/>
      <c r="U348" s="540"/>
    </row>
    <row r="349" spans="1:34" hidden="1">
      <c r="A349" s="396"/>
      <c r="B349" s="386"/>
      <c r="C349" s="481"/>
      <c r="D349" s="388"/>
      <c r="E349" s="387"/>
      <c r="F349" s="475"/>
      <c r="G349" s="482"/>
      <c r="H349" s="384"/>
      <c r="I349" s="387"/>
      <c r="J349" s="387"/>
      <c r="K349" s="387"/>
      <c r="L349" s="384"/>
      <c r="M349" s="387"/>
      <c r="N349" s="384"/>
      <c r="O349" s="387"/>
      <c r="P349" s="384"/>
      <c r="Q349" s="387"/>
      <c r="R349" s="540"/>
      <c r="S349" s="540"/>
      <c r="T349" s="540"/>
      <c r="U349" s="540"/>
    </row>
    <row r="350" spans="1:34" ht="204" hidden="1">
      <c r="A350" s="396"/>
      <c r="B350" s="386">
        <v>11</v>
      </c>
      <c r="C350" s="492" t="s">
        <v>1243</v>
      </c>
      <c r="D350" s="338"/>
      <c r="E350" s="399"/>
      <c r="F350" s="472"/>
      <c r="G350" s="414"/>
      <c r="H350" s="1602" t="s">
        <v>446</v>
      </c>
      <c r="I350" s="1603"/>
      <c r="J350" s="1600" t="s">
        <v>440</v>
      </c>
      <c r="K350" s="1601"/>
      <c r="L350" s="1600" t="s">
        <v>439</v>
      </c>
      <c r="M350" s="1604"/>
      <c r="N350" s="1600" t="s">
        <v>717</v>
      </c>
      <c r="O350" s="1601"/>
      <c r="P350" s="1600" t="s">
        <v>718</v>
      </c>
      <c r="Q350" s="1601"/>
      <c r="R350" s="1600" t="s">
        <v>759</v>
      </c>
      <c r="S350" s="1601"/>
      <c r="T350" s="1600" t="s">
        <v>760</v>
      </c>
      <c r="U350" s="1601"/>
      <c r="V350" s="966"/>
      <c r="W350" s="966"/>
      <c r="X350" s="966"/>
      <c r="Y350" s="966"/>
      <c r="Z350" s="966"/>
      <c r="AA350" s="966"/>
      <c r="AB350" s="966"/>
      <c r="AC350" s="966"/>
      <c r="AD350" s="966"/>
      <c r="AE350" s="966"/>
      <c r="AF350" s="966"/>
      <c r="AG350" s="966"/>
      <c r="AH350" s="966"/>
    </row>
    <row r="351" spans="1:34" hidden="1">
      <c r="A351" s="396"/>
      <c r="B351" s="386"/>
      <c r="C351" s="474" t="s">
        <v>857</v>
      </c>
      <c r="D351" s="338">
        <v>1.5</v>
      </c>
      <c r="E351" s="399" t="s">
        <v>862</v>
      </c>
      <c r="F351" s="472">
        <v>0.3</v>
      </c>
      <c r="G351" s="414"/>
      <c r="H351" s="603" t="s">
        <v>856</v>
      </c>
      <c r="I351" s="604">
        <v>0.24399999999999999</v>
      </c>
      <c r="J351" s="603" t="s">
        <v>856</v>
      </c>
      <c r="K351" s="604">
        <v>0.31</v>
      </c>
      <c r="L351" s="603" t="s">
        <v>856</v>
      </c>
      <c r="M351" s="604">
        <v>0.4</v>
      </c>
      <c r="N351" s="603" t="s">
        <v>856</v>
      </c>
      <c r="O351" s="604">
        <v>0.57999999999999996</v>
      </c>
      <c r="P351" s="603" t="s">
        <v>856</v>
      </c>
      <c r="Q351" s="604">
        <v>0.77</v>
      </c>
      <c r="R351" s="603" t="s">
        <v>867</v>
      </c>
      <c r="S351" s="604">
        <v>0.99</v>
      </c>
      <c r="T351" s="603" t="s">
        <v>867</v>
      </c>
      <c r="U351" s="604">
        <v>1.23</v>
      </c>
      <c r="V351" s="967"/>
      <c r="W351" s="967"/>
      <c r="X351" s="967"/>
      <c r="Y351" s="967"/>
      <c r="Z351" s="967"/>
      <c r="AA351" s="967"/>
      <c r="AB351" s="967"/>
      <c r="AC351" s="967"/>
      <c r="AD351" s="967"/>
      <c r="AE351" s="967"/>
      <c r="AF351" s="967"/>
      <c r="AG351" s="967"/>
      <c r="AH351" s="967"/>
    </row>
    <row r="352" spans="1:34" hidden="1">
      <c r="A352" s="396"/>
      <c r="B352" s="386"/>
      <c r="C352" s="474" t="s">
        <v>858</v>
      </c>
      <c r="D352" s="338">
        <v>1.4</v>
      </c>
      <c r="E352" s="399" t="s">
        <v>859</v>
      </c>
      <c r="F352" s="472">
        <v>0.23</v>
      </c>
      <c r="G352" s="414"/>
      <c r="H352" s="603"/>
      <c r="I352" s="604"/>
      <c r="J352" s="603"/>
      <c r="K352" s="604"/>
      <c r="L352" s="603"/>
      <c r="M352" s="604"/>
      <c r="N352" s="603"/>
      <c r="O352" s="604"/>
      <c r="P352" s="603"/>
      <c r="Q352" s="604"/>
      <c r="R352" s="895"/>
      <c r="S352" s="896"/>
      <c r="T352" s="895"/>
      <c r="U352" s="896"/>
      <c r="V352" s="966"/>
      <c r="W352" s="966"/>
      <c r="X352" s="966"/>
      <c r="Y352" s="966"/>
      <c r="Z352" s="966"/>
      <c r="AA352" s="966"/>
      <c r="AB352" s="966"/>
      <c r="AC352" s="966"/>
      <c r="AD352" s="966"/>
      <c r="AE352" s="966"/>
      <c r="AF352" s="966"/>
      <c r="AG352" s="966"/>
      <c r="AH352" s="966"/>
    </row>
    <row r="353" spans="1:34" hidden="1">
      <c r="A353" s="396"/>
      <c r="B353" s="386"/>
      <c r="C353" s="474" t="s">
        <v>860</v>
      </c>
      <c r="D353" s="338">
        <v>0.1</v>
      </c>
      <c r="E353" s="399" t="s">
        <v>861</v>
      </c>
      <c r="F353" s="472">
        <v>0.23</v>
      </c>
      <c r="G353" s="414"/>
      <c r="H353" s="603"/>
      <c r="I353" s="604"/>
      <c r="J353" s="603"/>
      <c r="K353" s="604"/>
      <c r="L353" s="603"/>
      <c r="M353" s="604"/>
      <c r="N353" s="603"/>
      <c r="O353" s="604"/>
      <c r="P353" s="603"/>
      <c r="Q353" s="604"/>
      <c r="R353" s="895"/>
      <c r="S353" s="896"/>
      <c r="T353" s="895"/>
      <c r="U353" s="896"/>
      <c r="V353" s="966"/>
      <c r="W353" s="966"/>
      <c r="X353" s="966"/>
      <c r="Y353" s="966"/>
      <c r="Z353" s="966"/>
      <c r="AA353" s="966"/>
      <c r="AB353" s="966"/>
      <c r="AC353" s="966"/>
      <c r="AD353" s="966"/>
      <c r="AE353" s="966"/>
      <c r="AF353" s="966"/>
      <c r="AG353" s="966"/>
      <c r="AH353" s="966"/>
    </row>
    <row r="354" spans="1:34" hidden="1">
      <c r="A354" s="396"/>
      <c r="B354" s="386"/>
      <c r="C354" s="474" t="s">
        <v>865</v>
      </c>
      <c r="D354" s="338">
        <v>0.9</v>
      </c>
      <c r="E354" s="399" t="s">
        <v>866</v>
      </c>
      <c r="F354" s="472">
        <v>0.35</v>
      </c>
      <c r="G354" s="414"/>
      <c r="H354" s="603"/>
      <c r="I354" s="604"/>
      <c r="J354" s="603"/>
      <c r="K354" s="604"/>
      <c r="L354" s="603"/>
      <c r="M354" s="604"/>
      <c r="N354" s="603"/>
      <c r="O354" s="604"/>
      <c r="P354" s="603"/>
      <c r="Q354" s="604"/>
      <c r="R354" s="895"/>
      <c r="S354" s="896"/>
      <c r="T354" s="895"/>
      <c r="U354" s="896"/>
      <c r="V354" s="966"/>
      <c r="W354" s="966"/>
      <c r="X354" s="966"/>
      <c r="Y354" s="966"/>
      <c r="Z354" s="966"/>
      <c r="AA354" s="966"/>
      <c r="AB354" s="966"/>
      <c r="AC354" s="966"/>
      <c r="AD354" s="966"/>
      <c r="AE354" s="966"/>
      <c r="AF354" s="966"/>
      <c r="AG354" s="966"/>
      <c r="AH354" s="966"/>
    </row>
    <row r="355" spans="1:34" hidden="1">
      <c r="A355" s="396"/>
      <c r="B355" s="386"/>
      <c r="C355" s="474" t="s">
        <v>863</v>
      </c>
      <c r="D355" s="338">
        <v>0.56000000000000005</v>
      </c>
      <c r="E355" s="399"/>
      <c r="F355" s="472"/>
      <c r="G355" s="414"/>
      <c r="H355" s="603"/>
      <c r="I355" s="604"/>
      <c r="J355" s="603"/>
      <c r="K355" s="604"/>
      <c r="L355" s="603"/>
      <c r="M355" s="604"/>
      <c r="N355" s="603"/>
      <c r="O355" s="604"/>
      <c r="P355" s="603"/>
      <c r="Q355" s="604"/>
      <c r="R355" s="895"/>
      <c r="S355" s="896"/>
      <c r="T355" s="895"/>
      <c r="U355" s="896"/>
      <c r="V355" s="966"/>
      <c r="W355" s="966"/>
      <c r="X355" s="966"/>
      <c r="Y355" s="966"/>
      <c r="Z355" s="966"/>
      <c r="AA355" s="966"/>
      <c r="AB355" s="966"/>
      <c r="AC355" s="966"/>
      <c r="AD355" s="966"/>
      <c r="AE355" s="966"/>
      <c r="AF355" s="966"/>
      <c r="AG355" s="966"/>
      <c r="AH355" s="966"/>
    </row>
    <row r="356" spans="1:34" ht="25.5" hidden="1">
      <c r="A356" s="396"/>
      <c r="B356" s="386"/>
      <c r="C356" s="474" t="str">
        <f>CONCATENATE("CC in CM( 1:4:8) PI/4x(0.9+0.46+0.3)x0.15=",E356)</f>
        <v>CC in CM( 1:4:8) PI/4x(0.9+0.46+0.3)x0.15=1.47262155637022</v>
      </c>
      <c r="D356" s="338" t="s">
        <v>109</v>
      </c>
      <c r="E356" s="489">
        <f t="shared" ref="E356:E361" si="42">I356</f>
        <v>1.4726215563702156</v>
      </c>
      <c r="F356" s="472">
        <f>F335</f>
        <v>5383.2900000000009</v>
      </c>
      <c r="G356" s="477">
        <f t="shared" ref="G356:G362" si="43">+ROUND(E356*F356,2)</f>
        <v>7927.55</v>
      </c>
      <c r="H356" s="477"/>
      <c r="I356" s="477">
        <f>(PI()/4)*(($D$330+(2*$F$333))+0.3)^2*$F$330</f>
        <v>1.4726215563702156</v>
      </c>
      <c r="J356" s="477"/>
      <c r="K356" s="477">
        <f>(PI()/4)*(($D$330+(2*$F$333))+0.3)^2*$F$330</f>
        <v>1.4726215563702156</v>
      </c>
      <c r="L356" s="477"/>
      <c r="M356" s="477">
        <f>(PI()/4)*(($D$330+(2*$F$333))+0.3)^2*$F$330</f>
        <v>1.4726215563702156</v>
      </c>
      <c r="N356" s="477"/>
      <c r="O356" s="477">
        <f>(PI()/4)*(($D$330+(2*$F$333))+0.3)^2*$F$330</f>
        <v>1.4726215563702156</v>
      </c>
      <c r="P356" s="477"/>
      <c r="Q356" s="477">
        <f>(PI()/4)*(($D$330+(2*$F$333))+0.3)^2*$F$330</f>
        <v>1.4726215563702156</v>
      </c>
      <c r="R356" s="477"/>
      <c r="S356" s="477">
        <f>(PI()/4)*(($D$330+(2*$F$333))+0.3)^2*$F$330</f>
        <v>1.4726215563702156</v>
      </c>
      <c r="T356" s="477"/>
      <c r="U356" s="477">
        <f>(PI()/4)*(($D$330+(2*$F$333))+0.3)^2*$F$330</f>
        <v>1.4726215563702156</v>
      </c>
      <c r="V356" s="447"/>
      <c r="W356" s="447"/>
      <c r="X356" s="447"/>
      <c r="Y356" s="447"/>
      <c r="Z356" s="447"/>
      <c r="AA356" s="447"/>
      <c r="AB356" s="447"/>
      <c r="AC356" s="447"/>
      <c r="AD356" s="447"/>
      <c r="AE356" s="447"/>
      <c r="AF356" s="447"/>
      <c r="AG356" s="447"/>
      <c r="AH356" s="447"/>
    </row>
    <row r="357" spans="1:34" ht="51" hidden="1">
      <c r="A357" s="396"/>
      <c r="B357" s="386"/>
      <c r="C357" s="474" t="str">
        <f>CONCATENATE("2nd Class Brick Masonory in cm (1: 6) Prop using 2nd class bricks for Uniform Section( PIx1.13x0.23x0.4)-(PI/4*0.23*0.23*.23*2)=",E357)</f>
        <v>2nd Class Brick Masonory in cm (1: 6) Prop using 2nd class bricks for Uniform Section( PIx1.13x0.23x0.4)-(PI/4*0.23*0.23*.23*2)=1.89276709056579</v>
      </c>
      <c r="D357" s="338" t="s">
        <v>109</v>
      </c>
      <c r="E357" s="489">
        <f t="shared" si="42"/>
        <v>1.8927670905657898</v>
      </c>
      <c r="F357" s="472">
        <f t="shared" ref="F357:F368" si="44">F336</f>
        <v>8504.4699999999993</v>
      </c>
      <c r="G357" s="477">
        <f t="shared" si="43"/>
        <v>16096.98</v>
      </c>
      <c r="H357" s="479">
        <f>ROUND(PI()/4*I351*I351*(($D$333/I351)*$F$333+(((I351-$D$333)/I351)*$F$332))*2,3)</f>
        <v>6.3E-2</v>
      </c>
      <c r="I357" s="479">
        <f>(PI()*($D$330+$F$333)*$F$333*$D$333)+(PI()*($D$330+$F$332)*$F$332*$D$332)-H357</f>
        <v>1.8927670905657898</v>
      </c>
      <c r="J357" s="479">
        <f>ROUND(PI()/4*K351*K351*(($D$333/K351)*$F$333+(((K351-$D$333)/K351)*$F$332))*2,3)</f>
        <v>8.6999999999999994E-2</v>
      </c>
      <c r="K357" s="479">
        <f>(PI()*($D$330+$F$333)*$F$333*$D$333)+(PI()*($D$330+$F$332)*$F$332*$D$332)-J357</f>
        <v>1.8687670905657898</v>
      </c>
      <c r="L357" s="479">
        <f>ROUND(PI()/4*M351*M351*(($D$333/M351)*$F$333+(((M351-$D$333)/M351)*$F$332))*2,3)</f>
        <v>0.126</v>
      </c>
      <c r="M357" s="479">
        <f>(PI()*($D$330+$F$333)*$F$333*$D$333)+(PI()*($D$330+$F$332)*$F$332*$D$332)-L357</f>
        <v>1.8297670905657899</v>
      </c>
      <c r="N357" s="479">
        <f>ROUND(PI()/4*O351*O351*(($D$333/O351)*$F$333+(((O351-$D$333)/O351)*$F$332))*2,3)</f>
        <v>0.22</v>
      </c>
      <c r="O357" s="479">
        <f>(PI()*($D$330+$F$333)*$F$333*$D$333)+(PI()*($D$330+$F$332)*$F$332*$D$332)-N357</f>
        <v>1.7357670905657898</v>
      </c>
      <c r="P357" s="479">
        <f>ROUND(PI()/4*Q351*Q351*(($D$333/Q351)*$F$333+(((Q351-$D$333)/Q351)*$F$332))*2,3)</f>
        <v>0.34499999999999997</v>
      </c>
      <c r="Q357" s="479">
        <f>(PI()*($D$330+$F$333)*$F$333*$D$333)+(PI()*($D$330+$F$332)*$F$332*$D$332)-P357</f>
        <v>1.6107670905657898</v>
      </c>
      <c r="R357" s="479">
        <f>ROUND(PI()/4*S351*S351*(($D$333/S351)*$F$333+(((S351-$D$333)/S351)*$F$332))*2,3)</f>
        <v>0.52200000000000002</v>
      </c>
      <c r="S357" s="479">
        <f>(PI()*($D$330+$F$333)*$F$333*$D$333)+(PI()*($D$330+$F$332)*$F$332*$D$332)-R357</f>
        <v>1.4337670905657898</v>
      </c>
      <c r="T357" s="479">
        <f>ROUND(PI()/4*U351*U351*(($D$333/U351)*$F$333+(((U351-$D$333)/U351)*$F$332))*2,3)</f>
        <v>0.755</v>
      </c>
      <c r="U357" s="479">
        <f>(PI()*($D$330+$F$333)*$F$333*$D$333)+(PI()*($D$330+$F$332)*$F$332*$D$332)-T357</f>
        <v>1.2007670905657899</v>
      </c>
      <c r="V357" s="465"/>
      <c r="W357" s="465"/>
      <c r="X357" s="465"/>
      <c r="Y357" s="465"/>
      <c r="Z357" s="465"/>
      <c r="AA357" s="465"/>
      <c r="AB357" s="465"/>
      <c r="AC357" s="465"/>
      <c r="AD357" s="465"/>
      <c r="AE357" s="465"/>
      <c r="AF357" s="465"/>
      <c r="AG357" s="465"/>
      <c r="AH357" s="465"/>
    </row>
    <row r="358" spans="1:34" ht="51" hidden="1">
      <c r="A358" s="396"/>
      <c r="B358" s="386"/>
      <c r="C358" s="474" t="str">
        <f>CONCATENATE("2nd Class Brick Masonory work  in cm (1: 6) )Prop using 2nd class bricks for Carbelling Portion Pix(1.13+0.78)/2x0.23x(0.6-.25)=",E358)</f>
        <v>2nd Class Brick Masonory work  in cm (1: 6) )Prop using 2nd class bricks for Carbelling Portion Pix(1.13+0.78)/2x0.23x(0.6-.25)=1.04699858366187</v>
      </c>
      <c r="D358" s="338" t="s">
        <v>109</v>
      </c>
      <c r="E358" s="489">
        <f t="shared" si="42"/>
        <v>1.0469985836618703</v>
      </c>
      <c r="F358" s="472">
        <f t="shared" si="44"/>
        <v>8504.4699999999993</v>
      </c>
      <c r="G358" s="477">
        <f t="shared" si="43"/>
        <v>8904.17</v>
      </c>
      <c r="H358" s="389"/>
      <c r="I358" s="389">
        <f>(PI()*(($D$330+$F$331+$D$334+$F$331)/2)*$F$331)*($D$331-0.25)</f>
        <v>1.0469985836618703</v>
      </c>
      <c r="J358" s="389"/>
      <c r="K358" s="389">
        <f>(PI()*(($D$330+$F$331+$D$334+$F$331)/2)*$F$331)*($D$331-0.25)</f>
        <v>1.0469985836618703</v>
      </c>
      <c r="L358" s="493"/>
      <c r="M358" s="389">
        <f>(PI()*(($D$330+$F$331+$D$334+$F$331)/2)*$F$331)*($D$331-0.175)</f>
        <v>1.1152810999876444</v>
      </c>
      <c r="N358" s="389"/>
      <c r="O358" s="389">
        <f>(PI()*(($D$330+$F$331+$D$334+$F$331)/2)*$F$331)*($D$331-0.25)</f>
        <v>1.0469985836618703</v>
      </c>
      <c r="P358" s="389"/>
      <c r="Q358" s="389">
        <f>(PI()*(($D$330+$F$331+$D$334+$F$331)/2)*$F$331)*($D$331-0.25)</f>
        <v>1.0469985836618703</v>
      </c>
      <c r="R358" s="493"/>
      <c r="S358" s="389">
        <f>(PI()*(($D$330+$F$331+$D$334+$F$331)/2)*$F$331)*($D$331-0.25)</f>
        <v>1.0469985836618703</v>
      </c>
      <c r="T358" s="493"/>
      <c r="U358" s="389">
        <f>(PI()*(($D$330+$F$331+$D$334+$F$331)/2)*$F$331)*($D$331-0.25)</f>
        <v>1.0469985836618703</v>
      </c>
      <c r="V358" s="165"/>
      <c r="W358" s="165"/>
      <c r="X358" s="165"/>
      <c r="Y358" s="165"/>
      <c r="Z358" s="165"/>
      <c r="AA358" s="165"/>
      <c r="AB358" s="165"/>
      <c r="AC358" s="165"/>
      <c r="AD358" s="165"/>
      <c r="AE358" s="165"/>
      <c r="AF358" s="165"/>
      <c r="AG358" s="165"/>
      <c r="AH358" s="165"/>
    </row>
    <row r="359" spans="1:34" ht="51" hidden="1">
      <c r="A359" s="396"/>
      <c r="B359" s="386"/>
      <c r="C359" s="970" t="str">
        <f>CONCATENATE("External Plastering in CM(1:4) of 12 mm thick vertical portion Pix(.9+.23*2)x0.40 and sloped portion Pix(1.36+1.01)/2x(0.6-.25)  Dedcut Pipe Portion 2xPI()/4x0.23x0.23=",E359)</f>
        <v>External Plastering in CM(1:4) of 12 mm thick vertical portion Pix(.9+.23*2)x0.40 and sloped portion Pix(1.36+1.01)/2x(0.6-.25)  Dedcut Pipe Portion 2xPI()/4x0.23x0.23=17.7298259201417</v>
      </c>
      <c r="D359" s="338" t="s">
        <v>224</v>
      </c>
      <c r="E359" s="489">
        <f t="shared" si="42"/>
        <v>17.729825920141693</v>
      </c>
      <c r="F359" s="472">
        <f t="shared" si="44"/>
        <v>170.45499999999998</v>
      </c>
      <c r="G359" s="477">
        <f t="shared" si="43"/>
        <v>3022.14</v>
      </c>
      <c r="H359" s="389">
        <f>ROUND(PI()/4*I351*I351*2,3)</f>
        <v>9.4E-2</v>
      </c>
      <c r="I359" s="389">
        <f>(PI()*($D$330+2*($F$333))*($D$333))+(PI()*($D$330+(2*$F$333))*$D$333)+(PI()*(($D$330+2*($F$331)+$D$334+2*($F$331))/2)*($D$331-0.25))-H359</f>
        <v>17.729825920141693</v>
      </c>
      <c r="J359" s="389">
        <f>ROUND(PI()/4*K351*K351*2,3)</f>
        <v>0.151</v>
      </c>
      <c r="K359" s="389">
        <f>(PI()*($D$330+2*($F$333))*($D$333))+(PI()*($D$330+(2*$F$333))*$D$333)+(PI()*(($D$330+2*($F$331)+$D$334+2*($F$331))/2)*($D$331-0.25))-J359</f>
        <v>17.672825920141694</v>
      </c>
      <c r="L359" s="389">
        <f>ROUND(PI()/4*M351*M351*2,3)</f>
        <v>0.251</v>
      </c>
      <c r="M359" s="389">
        <f>(PI()*($D$330+2*($F$333))*($D$333))+(PI()*($D$330+(2*$F$332))*$D$332)+(PI()*(($D$330+2*($F$331)+$D$334+2*($F$331))/2)*($D$331-0.175))-L359</f>
        <v>12.319297605176162</v>
      </c>
      <c r="N359" s="389">
        <f>ROUND(PI()/4*O351*O351*2,3)</f>
        <v>0.52800000000000002</v>
      </c>
      <c r="O359" s="389">
        <f>(PI()*($D$330+2*($F$333))*($D$333))+(PI()*($D$330+(2*$F$333))*$D$333)+(PI()*(($D$330+2*($F$331)+$D$334+2*($F$331))/2)*($D$331-0.25))-N359</f>
        <v>17.295825920141695</v>
      </c>
      <c r="P359" s="389">
        <f>ROUND(PI()/4*Q351*Q351*2,3)</f>
        <v>0.93100000000000005</v>
      </c>
      <c r="Q359" s="389">
        <f>(PI()*($D$330+2*($F$333))*($D$333))+(PI()*($D$330+(2*$F$333))*$D$333)+(PI()*(($D$330+2*($F$331)+$D$334+2*($F$331))/2)*($D$331-0.25))-P359</f>
        <v>16.892825920141693</v>
      </c>
      <c r="R359" s="389">
        <f>ROUND(PI()/4*S351*S351*2,3)</f>
        <v>1.54</v>
      </c>
      <c r="S359" s="389">
        <f>(PI()*($D$330+2*($F$333))*($D$333))+(PI()*($D$330+(2*$F$333))*$D$333)+(PI()*(($D$330+2*($F$331)+$D$334+2*($F$331))/2)*($D$331-0.25))-R359</f>
        <v>16.283825920141695</v>
      </c>
      <c r="T359" s="389">
        <f>ROUND(PI()/4*U351*U351*2,3)</f>
        <v>2.3759999999999999</v>
      </c>
      <c r="U359" s="389">
        <f>(PI()*($D$330+2*($F$333))*($D$333))+(PI()*($D$330+(2*$F$333))*$D$333)+(PI()*(($D$330+2*($F$331)+$D$334+2*($F$331))/2)*($D$331-0.25))-T359</f>
        <v>15.447825920141694</v>
      </c>
      <c r="V359" s="165"/>
      <c r="W359" s="165"/>
      <c r="X359" s="165"/>
      <c r="Y359" s="165"/>
      <c r="Z359" s="165"/>
      <c r="AA359" s="165"/>
      <c r="AB359" s="165"/>
      <c r="AC359" s="165"/>
      <c r="AD359" s="165"/>
      <c r="AE359" s="165"/>
      <c r="AF359" s="165"/>
      <c r="AG359" s="165"/>
      <c r="AH359" s="165"/>
    </row>
    <row r="360" spans="1:34" ht="51" hidden="1">
      <c r="A360" s="396"/>
      <c r="B360" s="386"/>
      <c r="C360" s="474" t="str">
        <f>CONCATENATE("Internal Plastering in CM(1:4) of 20 mm thick uniform portion PIx0.90x0.4 and Sloped Portion Pix(0.90+0.56)/2x(.6-.25)  Dedcut Pipe Portion 2xPI()/4x0.25x0.25=",E360)</f>
        <v>Internal Plastering in CM(1:4) of 20 mm thick uniform portion PIx0.90x0.4 and Sloped Portion Pix(0.90+0.56)/2x(.6-.25)  Dedcut Pipe Portion 2xPI()/4x0.25x0.25=7.2836054785618</v>
      </c>
      <c r="D360" s="338" t="s">
        <v>224</v>
      </c>
      <c r="E360" s="399">
        <f t="shared" si="42"/>
        <v>7.2836054785617979</v>
      </c>
      <c r="F360" s="472">
        <f t="shared" si="44"/>
        <v>259.48599999999999</v>
      </c>
      <c r="G360" s="477">
        <f t="shared" si="43"/>
        <v>1889.99</v>
      </c>
      <c r="H360" s="389">
        <f>ROUND(PI()*$D$330*I351,3)</f>
        <v>1.1499999999999999</v>
      </c>
      <c r="I360" s="490">
        <f>((PI()*$D$330*$D$333)+(PI()*($D$330)*$D$332)+(PI()*($D$330+$D$334)/2*($D$331-0.25)))-H360</f>
        <v>7.2836054785617979</v>
      </c>
      <c r="J360" s="389">
        <f>ROUND(PI()*$D$330*K351,3)</f>
        <v>1.4610000000000001</v>
      </c>
      <c r="K360" s="490">
        <f>((PI()*$D$330*$D$333)+(PI()*($D$330)*$D$332)+(PI()*($D$330+$D$334)/2*($D$331-0.175)))-J360</f>
        <v>7.2152935110516108</v>
      </c>
      <c r="L360" s="389">
        <f>ROUND(PI()*$D$330*M351,3)</f>
        <v>1.885</v>
      </c>
      <c r="M360" s="490">
        <f>((PI()*$D$330*$D$333)+(PI()*($D$330)*$D$332)+(PI()*($D$330+$D$334)/2*($D$331-0.175)))-L360</f>
        <v>6.7912935110516113</v>
      </c>
      <c r="N360" s="389">
        <f>ROUND(PI()*$D$330*O351,3)</f>
        <v>2.7330000000000001</v>
      </c>
      <c r="O360" s="490">
        <f>((PI()*$D$330*$D$333)+(PI()*($D$330)*$D$332)+(PI()*($D$330+$D$334)/2*($D$331-0.175)))-N360</f>
        <v>5.9432935110516105</v>
      </c>
      <c r="P360" s="389">
        <f>ROUND(PI()*$D$330*Q351,3)</f>
        <v>3.629</v>
      </c>
      <c r="Q360" s="490">
        <f>((PI()*$D$330*$D$333)+(PI()*($D$330)*$D$332)+(PI()*($D$330+$D$334)/2*($D$331-0.175)))-P360</f>
        <v>5.0472935110516115</v>
      </c>
      <c r="R360" s="389">
        <f>ROUND(PI()*$D$330*S351,3)</f>
        <v>4.665</v>
      </c>
      <c r="S360" s="490">
        <f>((PI()*$D$330*$D$333)+(PI()*($D$330)*$D$332)+(PI()*($D$330+$D$334)/2*($D$331-0.175)))-R360</f>
        <v>4.011293511051611</v>
      </c>
      <c r="T360" s="389">
        <f>ROUND(PI()*$D$330*U351,3)</f>
        <v>5.7960000000000003</v>
      </c>
      <c r="U360" s="490">
        <f>((PI()*$D$330*$D$333)+(PI()*($D$330)*$D$332)+(PI()*($D$330+$D$334)/2*($D$331-0.175)))-T360</f>
        <v>2.8802935110516108</v>
      </c>
      <c r="V360" s="467"/>
      <c r="W360" s="467"/>
      <c r="X360" s="467"/>
      <c r="Y360" s="467"/>
      <c r="Z360" s="467"/>
      <c r="AA360" s="467"/>
      <c r="AB360" s="467"/>
      <c r="AC360" s="467"/>
      <c r="AD360" s="467"/>
      <c r="AE360" s="467"/>
      <c r="AF360" s="467"/>
      <c r="AG360" s="467"/>
      <c r="AH360" s="467"/>
    </row>
    <row r="361" spans="1:34" ht="51" hidden="1">
      <c r="A361" s="396"/>
      <c r="B361" s="386"/>
      <c r="C361" s="473" t="str">
        <f>CONCATENATE("CC Channeling with (1:2.5:5) Prop  PIx0.9x0.9x0.30/4 = over Manhole alround for Cover PIx0.81x0.15x0.10= deduct Channel 0.90x0.25x0.25=",E361)</f>
        <v>CC Channeling with (1:2.5:5) Prop  PIx0.9x0.9x0.30/4 = over Manhole alround for Cover PIx0.81x0.15x0.10= deduct Channel 0.90x0.25x0.25=0.332375187071781</v>
      </c>
      <c r="D361" s="338" t="s">
        <v>109</v>
      </c>
      <c r="E361" s="489">
        <f t="shared" si="42"/>
        <v>0.33237518707178065</v>
      </c>
      <c r="F361" s="472">
        <f t="shared" si="44"/>
        <v>6018.18</v>
      </c>
      <c r="G361" s="477">
        <f t="shared" si="43"/>
        <v>2000.29</v>
      </c>
      <c r="H361" s="389">
        <f>ROUND($D$330*(PI()/4)*I351*I351,3)</f>
        <v>7.0000000000000007E-2</v>
      </c>
      <c r="I361" s="389">
        <f>(((PI()*$D$330^2/4)*0.1)+(PI()*($D$330+$F$331)*$F$333*0.1)+(PI()*(0.86+0.08)*0.08*0.15))-H361</f>
        <v>0.33237518707178065</v>
      </c>
      <c r="J361" s="389">
        <f>ROUND($D$330*(PI()/4)*K351*K351,3)</f>
        <v>0.113</v>
      </c>
      <c r="K361" s="389">
        <f>(((PI()*$D$330^2/4)*K351)+(PI()*($D$330+$F$331)*$F$333*0.075)+(PI()*(0.71+0.08)*0.08*0.175))-J361</f>
        <v>0.61222881009956975</v>
      </c>
      <c r="L361" s="389">
        <f>ROUND($D$330*(PI()/4)*M351*M351,3)</f>
        <v>0.188</v>
      </c>
      <c r="M361" s="389">
        <f>(((PI()*$D$330^2/4)*M351)+(PI()*($D$334+$F$331)*$F$331*0.075)+(PI()*(0.71+2*0.075+0.08)*0.08*0.1))-L361</f>
        <v>0.58529517769949346</v>
      </c>
      <c r="N361" s="389">
        <f>ROUND($D$330*(PI()/4)*O351*O351,3)</f>
        <v>0.39600000000000002</v>
      </c>
      <c r="O361" s="389">
        <f>(((PI()*$D$330^2/4)*O351)+(PI()*($D$330+$F$331)*$F$333*0.075)+(PI()*(0.71+0.08)*0.08*0.175))-N361</f>
        <v>0.80635819436351952</v>
      </c>
      <c r="P361" s="389">
        <f>ROUND($D$330*(PI()/4)*Q351*Q351,3)</f>
        <v>0.69799999999999995</v>
      </c>
      <c r="Q361" s="389">
        <f>(((PI()*$D$330^2/4)*Q351)+(PI()*($D$330+$F$331)*$F$333*0.075)+(PI()*(0.71+0.08)*0.08*0.175))-P361</f>
        <v>0.84011590921592871</v>
      </c>
      <c r="R361" s="389">
        <f>ROUND($D$330*(PI()/4)*S351*S351,3)</f>
        <v>1.155</v>
      </c>
      <c r="S361" s="389">
        <f>(((PI()*$D$330^2/4)*S351)+(PI()*($D$330+$F$331)*$F$333*0.075)+(PI()*(0.71+0.08)*0.08*0.175))-R361</f>
        <v>0.77188800009766556</v>
      </c>
      <c r="T361" s="389">
        <f>ROUND($D$330*(PI()/4)*U351*U351,3)</f>
        <v>1.782</v>
      </c>
      <c r="U361" s="389">
        <f>(((PI()*$D$330^2/4)*U351)+(PI()*($D$330+$F$331)*$F$333*0.075)+(PI()*(0.71+0.08)*0.08*0.175))-T361</f>
        <v>0.56900300833228767</v>
      </c>
      <c r="V361" s="165"/>
      <c r="W361" s="165"/>
      <c r="X361" s="165"/>
      <c r="Y361" s="165"/>
      <c r="Z361" s="165"/>
      <c r="AA361" s="165"/>
      <c r="AB361" s="165"/>
      <c r="AC361" s="165"/>
      <c r="AD361" s="165"/>
      <c r="AE361" s="165"/>
      <c r="AF361" s="165"/>
      <c r="AG361" s="165"/>
      <c r="AH361" s="165"/>
    </row>
    <row r="362" spans="1:34" hidden="1">
      <c r="A362" s="396"/>
      <c r="B362" s="386"/>
      <c r="C362" s="473" t="s">
        <v>225</v>
      </c>
      <c r="D362" s="338" t="s">
        <v>226</v>
      </c>
      <c r="E362" s="399">
        <v>3</v>
      </c>
      <c r="F362" s="472">
        <f t="shared" si="44"/>
        <v>81</v>
      </c>
      <c r="G362" s="477">
        <f t="shared" si="43"/>
        <v>243</v>
      </c>
      <c r="H362" s="477"/>
      <c r="I362" s="389"/>
      <c r="J362" s="389"/>
      <c r="K362" s="389"/>
      <c r="L362" s="389"/>
      <c r="M362" s="389"/>
      <c r="N362" s="389"/>
      <c r="O362" s="389"/>
      <c r="P362" s="389"/>
      <c r="Q362" s="389"/>
      <c r="R362" s="540"/>
      <c r="S362" s="540"/>
      <c r="T362" s="540"/>
      <c r="U362" s="540"/>
    </row>
    <row r="363" spans="1:34" hidden="1">
      <c r="A363" s="396"/>
      <c r="B363" s="386"/>
      <c r="C363" s="480" t="s">
        <v>106</v>
      </c>
      <c r="D363" s="338" t="s">
        <v>226</v>
      </c>
      <c r="E363" s="399"/>
      <c r="F363" s="472" t="str">
        <f t="shared" si="44"/>
        <v>Rs</v>
      </c>
      <c r="G363" s="414">
        <f>SUM(G356:G362)</f>
        <v>40084.119999999995</v>
      </c>
      <c r="H363" s="414"/>
      <c r="I363" s="389"/>
      <c r="J363" s="389"/>
      <c r="K363" s="389"/>
      <c r="L363" s="389"/>
      <c r="M363" s="389"/>
      <c r="N363" s="389"/>
      <c r="O363" s="389"/>
      <c r="P363" s="389"/>
      <c r="Q363" s="389"/>
      <c r="R363" s="540"/>
      <c r="S363" s="540"/>
      <c r="T363" s="540"/>
      <c r="U363" s="540"/>
    </row>
    <row r="364" spans="1:34" hidden="1">
      <c r="A364" s="396"/>
      <c r="B364" s="386"/>
      <c r="C364" s="480"/>
      <c r="D364" s="397"/>
      <c r="E364" s="399"/>
      <c r="F364" s="472"/>
      <c r="G364" s="414"/>
      <c r="H364" s="475"/>
      <c r="I364" s="389"/>
      <c r="J364" s="389"/>
      <c r="K364" s="389"/>
      <c r="L364" s="389"/>
      <c r="M364" s="389"/>
      <c r="N364" s="389"/>
      <c r="O364" s="389"/>
      <c r="P364" s="389"/>
      <c r="Q364" s="389"/>
      <c r="R364" s="657"/>
      <c r="S364" s="657"/>
      <c r="T364" s="657"/>
      <c r="U364" s="657"/>
      <c r="V364" s="197"/>
      <c r="W364" s="197"/>
      <c r="X364" s="197"/>
      <c r="Y364" s="197"/>
      <c r="Z364" s="197"/>
      <c r="AA364" s="197"/>
      <c r="AB364" s="197"/>
      <c r="AC364" s="197"/>
      <c r="AD364" s="197"/>
      <c r="AE364" s="197"/>
      <c r="AF364" s="197"/>
      <c r="AG364" s="197"/>
      <c r="AH364" s="197"/>
    </row>
    <row r="365" spans="1:34" hidden="1">
      <c r="A365" s="396"/>
      <c r="B365" s="386"/>
      <c r="C365" s="481" t="s">
        <v>319</v>
      </c>
      <c r="D365" s="388"/>
      <c r="E365" s="387"/>
      <c r="F365" s="472"/>
      <c r="G365" s="482"/>
      <c r="H365" s="475"/>
      <c r="I365" s="384"/>
      <c r="J365" s="384"/>
      <c r="K365" s="384"/>
      <c r="L365" s="384"/>
      <c r="M365" s="384"/>
      <c r="N365" s="384"/>
      <c r="O365" s="384"/>
      <c r="P365" s="384"/>
      <c r="Q365" s="384"/>
      <c r="R365" s="657"/>
      <c r="S365" s="657"/>
      <c r="T365" s="657"/>
      <c r="U365" s="657"/>
      <c r="V365" s="197"/>
      <c r="W365" s="197"/>
      <c r="X365" s="197"/>
      <c r="Y365" s="197"/>
      <c r="Z365" s="197"/>
      <c r="AA365" s="197"/>
      <c r="AB365" s="197"/>
      <c r="AC365" s="197"/>
      <c r="AD365" s="197"/>
      <c r="AE365" s="197"/>
      <c r="AF365" s="197"/>
      <c r="AG365" s="197"/>
      <c r="AH365" s="197"/>
    </row>
    <row r="366" spans="1:34" hidden="1">
      <c r="A366" s="396"/>
      <c r="B366" s="386"/>
      <c r="C366" s="481" t="s">
        <v>320</v>
      </c>
      <c r="D366" s="388" t="s">
        <v>109</v>
      </c>
      <c r="E366" s="483">
        <f>ROUND(E356*0.9+E361*0.9,2)</f>
        <v>1.62</v>
      </c>
      <c r="F366" s="472">
        <f t="shared" si="44"/>
        <v>0</v>
      </c>
      <c r="G366" s="475">
        <v>0</v>
      </c>
      <c r="H366" s="384"/>
      <c r="I366" s="483">
        <f>ROUND(I356*0.9+I361*0.9,2)</f>
        <v>1.62</v>
      </c>
      <c r="J366" s="483"/>
      <c r="K366" s="483">
        <f>ROUND(K356*0.9+K361*0.9,2)</f>
        <v>1.88</v>
      </c>
      <c r="L366" s="384"/>
      <c r="M366" s="483">
        <f>ROUND(M356*0.9+M361*0.9,2)</f>
        <v>1.85</v>
      </c>
      <c r="N366" s="384"/>
      <c r="O366" s="483"/>
      <c r="P366" s="384"/>
      <c r="Q366" s="483"/>
      <c r="R366" s="657"/>
      <c r="S366" s="657"/>
      <c r="T366" s="657"/>
      <c r="U366" s="657"/>
      <c r="V366" s="197"/>
      <c r="W366" s="197"/>
      <c r="X366" s="197"/>
      <c r="Y366" s="197"/>
      <c r="Z366" s="197"/>
      <c r="AA366" s="197"/>
      <c r="AB366" s="197"/>
      <c r="AC366" s="197"/>
      <c r="AD366" s="197"/>
      <c r="AE366" s="197"/>
      <c r="AF366" s="197"/>
      <c r="AG366" s="197"/>
      <c r="AH366" s="197"/>
    </row>
    <row r="367" spans="1:34" hidden="1">
      <c r="A367" s="396"/>
      <c r="B367" s="386"/>
      <c r="C367" s="481" t="s">
        <v>321</v>
      </c>
      <c r="D367" s="388" t="s">
        <v>109</v>
      </c>
      <c r="E367" s="483">
        <f>ROUND((E357+E358)*0.2+(E359*0.015+E360*0.021)+(E356+E361)*0.45,2)</f>
        <v>1.82</v>
      </c>
      <c r="F367" s="472">
        <f t="shared" si="44"/>
        <v>0</v>
      </c>
      <c r="G367" s="475">
        <v>0</v>
      </c>
      <c r="H367" s="384"/>
      <c r="I367" s="483">
        <f>ROUND((I357+I358)*0.2+(I359*0.015+I360*0.021)+(I356+I361)*0.45,2)</f>
        <v>1.82</v>
      </c>
      <c r="J367" s="483"/>
      <c r="K367" s="483">
        <f>ROUND((K357+K358)*0.2+(K359*0.015+K360*0.021)+(K356+K361)*0.45,2)</f>
        <v>1.94</v>
      </c>
      <c r="L367" s="384"/>
      <c r="M367" s="483">
        <f>ROUND((M357+M358)*0.2+(M359*0.015+M360*0.021)+(M356+M361)*0.45,2)</f>
        <v>1.84</v>
      </c>
      <c r="N367" s="384"/>
      <c r="O367" s="483"/>
      <c r="P367" s="384"/>
      <c r="Q367" s="483"/>
      <c r="R367" s="247"/>
      <c r="S367" s="247"/>
      <c r="T367" s="247"/>
      <c r="U367" s="247"/>
      <c r="V367" s="157"/>
      <c r="W367" s="157"/>
      <c r="X367" s="157"/>
      <c r="Y367" s="157"/>
      <c r="Z367" s="157"/>
      <c r="AA367" s="157"/>
      <c r="AB367" s="157"/>
      <c r="AC367" s="157"/>
      <c r="AD367" s="157"/>
      <c r="AE367" s="157"/>
      <c r="AF367" s="157"/>
      <c r="AG367" s="157"/>
      <c r="AH367" s="157"/>
    </row>
    <row r="368" spans="1:34" hidden="1">
      <c r="A368" s="396"/>
      <c r="B368" s="386"/>
      <c r="C368" s="481" t="s">
        <v>273</v>
      </c>
      <c r="D368" s="388"/>
      <c r="E368" s="387"/>
      <c r="F368" s="472" t="str">
        <f t="shared" si="44"/>
        <v>Rs</v>
      </c>
      <c r="G368" s="482">
        <f>SUM(G363:G367)</f>
        <v>40084.119999999995</v>
      </c>
      <c r="H368" s="384"/>
      <c r="I368" s="387"/>
      <c r="J368" s="387"/>
      <c r="K368" s="387"/>
      <c r="L368" s="384"/>
      <c r="M368" s="387"/>
      <c r="N368" s="384"/>
      <c r="O368" s="387"/>
      <c r="P368" s="384"/>
      <c r="Q368" s="387"/>
      <c r="R368" s="540"/>
      <c r="S368" s="540"/>
      <c r="T368" s="540"/>
      <c r="U368" s="540"/>
    </row>
    <row r="369" spans="1:34" hidden="1">
      <c r="A369" s="396"/>
      <c r="B369" s="386"/>
      <c r="C369" s="481"/>
      <c r="D369" s="388"/>
      <c r="E369" s="387"/>
      <c r="F369" s="475"/>
      <c r="G369" s="482"/>
      <c r="H369" s="384"/>
      <c r="I369" s="387"/>
      <c r="J369" s="387"/>
      <c r="K369" s="387"/>
      <c r="L369" s="384"/>
      <c r="M369" s="387"/>
      <c r="N369" s="384"/>
      <c r="O369" s="387"/>
      <c r="P369" s="384"/>
      <c r="Q369" s="387"/>
      <c r="R369" s="540"/>
      <c r="S369" s="540"/>
      <c r="T369" s="540"/>
      <c r="U369" s="540"/>
    </row>
    <row r="370" spans="1:34" ht="204" hidden="1">
      <c r="A370" s="396"/>
      <c r="B370" s="386">
        <v>12</v>
      </c>
      <c r="C370" s="492" t="s">
        <v>1243</v>
      </c>
      <c r="D370" s="338"/>
      <c r="E370" s="399"/>
      <c r="F370" s="472"/>
      <c r="G370" s="414"/>
      <c r="H370" s="1600" t="s">
        <v>446</v>
      </c>
      <c r="I370" s="1601"/>
      <c r="J370" s="1600" t="s">
        <v>440</v>
      </c>
      <c r="K370" s="1601"/>
      <c r="L370" s="1600" t="s">
        <v>439</v>
      </c>
      <c r="M370" s="1604"/>
      <c r="N370" s="1602" t="s">
        <v>717</v>
      </c>
      <c r="O370" s="1603"/>
      <c r="P370" s="1600" t="s">
        <v>718</v>
      </c>
      <c r="Q370" s="1601"/>
      <c r="R370" s="1600" t="s">
        <v>759</v>
      </c>
      <c r="S370" s="1601"/>
      <c r="T370" s="1600" t="s">
        <v>760</v>
      </c>
      <c r="U370" s="1601"/>
      <c r="V370" s="966"/>
      <c r="W370" s="966"/>
      <c r="X370" s="966"/>
      <c r="Y370" s="966"/>
      <c r="Z370" s="966"/>
      <c r="AA370" s="966"/>
      <c r="AB370" s="966"/>
      <c r="AC370" s="966"/>
      <c r="AD370" s="966"/>
      <c r="AE370" s="966"/>
      <c r="AF370" s="966"/>
      <c r="AG370" s="966"/>
      <c r="AH370" s="966"/>
    </row>
    <row r="371" spans="1:34" hidden="1">
      <c r="A371" s="396"/>
      <c r="B371" s="386"/>
      <c r="C371" s="474" t="s">
        <v>857</v>
      </c>
      <c r="D371" s="338">
        <v>1.5</v>
      </c>
      <c r="E371" s="399" t="s">
        <v>862</v>
      </c>
      <c r="F371" s="472">
        <v>0.3</v>
      </c>
      <c r="G371" s="414"/>
      <c r="H371" s="603" t="s">
        <v>856</v>
      </c>
      <c r="I371" s="604">
        <v>0.24399999999999999</v>
      </c>
      <c r="J371" s="603" t="s">
        <v>856</v>
      </c>
      <c r="K371" s="604">
        <v>0.31</v>
      </c>
      <c r="L371" s="603" t="s">
        <v>856</v>
      </c>
      <c r="M371" s="604">
        <v>0.4</v>
      </c>
      <c r="N371" s="603" t="s">
        <v>856</v>
      </c>
      <c r="O371" s="604">
        <v>0.57999999999999996</v>
      </c>
      <c r="P371" s="603" t="s">
        <v>856</v>
      </c>
      <c r="Q371" s="604">
        <v>0.75</v>
      </c>
      <c r="R371" s="603" t="s">
        <v>867</v>
      </c>
      <c r="S371" s="604">
        <v>0.99</v>
      </c>
      <c r="T371" s="603" t="s">
        <v>867</v>
      </c>
      <c r="U371" s="604">
        <v>1.23</v>
      </c>
      <c r="V371" s="967"/>
      <c r="W371" s="967"/>
      <c r="X371" s="967"/>
      <c r="Y371" s="967"/>
      <c r="Z371" s="967"/>
      <c r="AA371" s="967"/>
      <c r="AB371" s="967"/>
      <c r="AC371" s="967"/>
      <c r="AD371" s="967"/>
      <c r="AE371" s="967"/>
      <c r="AF371" s="967"/>
      <c r="AG371" s="967"/>
      <c r="AH371" s="967"/>
    </row>
    <row r="372" spans="1:34" hidden="1">
      <c r="A372" s="396"/>
      <c r="B372" s="386"/>
      <c r="C372" s="474" t="s">
        <v>858</v>
      </c>
      <c r="D372" s="338">
        <v>1.4</v>
      </c>
      <c r="E372" s="399" t="s">
        <v>859</v>
      </c>
      <c r="F372" s="472">
        <v>0.23</v>
      </c>
      <c r="G372" s="414"/>
      <c r="H372" s="603"/>
      <c r="I372" s="604"/>
      <c r="J372" s="603"/>
      <c r="K372" s="604"/>
      <c r="L372" s="603"/>
      <c r="M372" s="604"/>
      <c r="N372" s="603"/>
      <c r="O372" s="604"/>
      <c r="P372" s="603"/>
      <c r="Q372" s="604"/>
      <c r="R372" s="706"/>
      <c r="S372" s="707"/>
      <c r="T372" s="706"/>
      <c r="U372" s="707"/>
      <c r="V372" s="966"/>
      <c r="W372" s="966"/>
      <c r="X372" s="966"/>
      <c r="Y372" s="966"/>
      <c r="Z372" s="966"/>
      <c r="AA372" s="966"/>
      <c r="AB372" s="966"/>
      <c r="AC372" s="966"/>
      <c r="AD372" s="966"/>
      <c r="AE372" s="966"/>
      <c r="AF372" s="966"/>
      <c r="AG372" s="966"/>
      <c r="AH372" s="966"/>
    </row>
    <row r="373" spans="1:34" hidden="1">
      <c r="A373" s="396"/>
      <c r="B373" s="386"/>
      <c r="C373" s="474" t="s">
        <v>860</v>
      </c>
      <c r="D373" s="338">
        <v>0.1</v>
      </c>
      <c r="E373" s="399" t="s">
        <v>861</v>
      </c>
      <c r="F373" s="472">
        <v>0.23</v>
      </c>
      <c r="G373" s="414"/>
      <c r="H373" s="603"/>
      <c r="I373" s="604"/>
      <c r="J373" s="603"/>
      <c r="K373" s="604"/>
      <c r="L373" s="603"/>
      <c r="M373" s="604"/>
      <c r="N373" s="603"/>
      <c r="O373" s="604"/>
      <c r="P373" s="603"/>
      <c r="Q373" s="604"/>
      <c r="R373" s="706"/>
      <c r="S373" s="707"/>
      <c r="T373" s="706"/>
      <c r="U373" s="707"/>
      <c r="V373" s="966"/>
      <c r="W373" s="966"/>
      <c r="X373" s="966"/>
      <c r="Y373" s="966"/>
      <c r="Z373" s="966"/>
      <c r="AA373" s="966"/>
      <c r="AB373" s="966"/>
      <c r="AC373" s="966"/>
      <c r="AD373" s="966"/>
      <c r="AE373" s="966"/>
      <c r="AF373" s="966"/>
      <c r="AG373" s="966"/>
      <c r="AH373" s="966"/>
    </row>
    <row r="374" spans="1:34" hidden="1">
      <c r="A374" s="396"/>
      <c r="B374" s="386"/>
      <c r="C374" s="474" t="s">
        <v>865</v>
      </c>
      <c r="D374" s="338">
        <v>0.9</v>
      </c>
      <c r="E374" s="399" t="s">
        <v>866</v>
      </c>
      <c r="F374" s="472">
        <v>0.35</v>
      </c>
      <c r="G374" s="414"/>
      <c r="H374" s="603"/>
      <c r="I374" s="604"/>
      <c r="J374" s="603"/>
      <c r="K374" s="604"/>
      <c r="L374" s="603"/>
      <c r="M374" s="604"/>
      <c r="N374" s="603"/>
      <c r="O374" s="604"/>
      <c r="P374" s="603"/>
      <c r="Q374" s="604"/>
      <c r="R374" s="706"/>
      <c r="S374" s="707"/>
      <c r="T374" s="706"/>
      <c r="U374" s="707"/>
      <c r="V374" s="966"/>
      <c r="W374" s="966"/>
      <c r="X374" s="966"/>
      <c r="Y374" s="966"/>
      <c r="Z374" s="966"/>
      <c r="AA374" s="966"/>
      <c r="AB374" s="966"/>
      <c r="AC374" s="966"/>
      <c r="AD374" s="966"/>
      <c r="AE374" s="966"/>
      <c r="AF374" s="966"/>
      <c r="AG374" s="966"/>
      <c r="AH374" s="966"/>
    </row>
    <row r="375" spans="1:34" hidden="1">
      <c r="A375" s="396"/>
      <c r="B375" s="386"/>
      <c r="C375" s="474" t="s">
        <v>863</v>
      </c>
      <c r="D375" s="338">
        <v>0.56000000000000005</v>
      </c>
      <c r="E375" s="399"/>
      <c r="F375" s="472"/>
      <c r="G375" s="414"/>
      <c r="H375" s="603"/>
      <c r="I375" s="604"/>
      <c r="J375" s="603"/>
      <c r="K375" s="604"/>
      <c r="L375" s="603"/>
      <c r="M375" s="604"/>
      <c r="N375" s="603"/>
      <c r="O375" s="604"/>
      <c r="P375" s="603"/>
      <c r="Q375" s="604"/>
      <c r="R375" s="706"/>
      <c r="S375" s="707"/>
      <c r="T375" s="706"/>
      <c r="U375" s="707"/>
      <c r="V375" s="966"/>
      <c r="W375" s="966"/>
      <c r="X375" s="966"/>
      <c r="Y375" s="966"/>
      <c r="Z375" s="966"/>
      <c r="AA375" s="966"/>
      <c r="AB375" s="966"/>
      <c r="AC375" s="966"/>
      <c r="AD375" s="966"/>
      <c r="AE375" s="966"/>
      <c r="AF375" s="966"/>
      <c r="AG375" s="966"/>
      <c r="AH375" s="966"/>
    </row>
    <row r="376" spans="1:34" ht="25.5" hidden="1">
      <c r="A376" s="396"/>
      <c r="B376" s="386"/>
      <c r="C376" s="474" t="str">
        <f>CONCATENATE("CC in CM( 1:4:8) PI/4x(0.9+0.46+0.3)x0.15=",E376)</f>
        <v>CC in CM( 1:4:8) PI/4x(0.9+0.46+0.3)x0.15=1.47262155637022</v>
      </c>
      <c r="D376" s="338" t="s">
        <v>109</v>
      </c>
      <c r="E376" s="489">
        <f t="shared" ref="E376:E381" si="45">O376</f>
        <v>1.4726215563702156</v>
      </c>
      <c r="F376" s="472">
        <f>F335</f>
        <v>5383.2900000000009</v>
      </c>
      <c r="G376" s="477">
        <f t="shared" ref="G376:G382" si="46">+ROUND(E376*F376,2)</f>
        <v>7927.55</v>
      </c>
      <c r="H376" s="477"/>
      <c r="I376" s="477">
        <f>(PI()/4)*(($D$330+(2*$F$333))+0.3)^2*$F$330</f>
        <v>1.4726215563702156</v>
      </c>
      <c r="J376" s="477"/>
      <c r="K376" s="477">
        <f>(PI()/4)*(($D$330+(2*$F$333))+0.3)^2*$F$330</f>
        <v>1.4726215563702156</v>
      </c>
      <c r="L376" s="477"/>
      <c r="M376" s="477">
        <f>(PI()/4)*(($D$330+(2*$F$333))+0.3)^2*$F$330</f>
        <v>1.4726215563702156</v>
      </c>
      <c r="N376" s="477"/>
      <c r="O376" s="477">
        <f>(PI()/4)*(($D$330+(2*$F$333))+0.3)^2*$F$330</f>
        <v>1.4726215563702156</v>
      </c>
      <c r="P376" s="477"/>
      <c r="Q376" s="477">
        <f>(PI()/4)*(($D$330+(2*$F$333))+0.3)^2*$F$330</f>
        <v>1.4726215563702156</v>
      </c>
      <c r="R376" s="477"/>
      <c r="S376" s="477">
        <f>(PI()/4)*(($D$330+(2*$F$333))+0.3)^2*$F$330</f>
        <v>1.4726215563702156</v>
      </c>
      <c r="T376" s="477"/>
      <c r="U376" s="477">
        <f>(PI()/4)*(($D$330+(2*$F$333))+0.3)^2*$F$330</f>
        <v>1.4726215563702156</v>
      </c>
      <c r="V376" s="447"/>
      <c r="W376" s="447"/>
      <c r="X376" s="447"/>
      <c r="Y376" s="447"/>
      <c r="Z376" s="447"/>
      <c r="AA376" s="447"/>
      <c r="AB376" s="447"/>
      <c r="AC376" s="447"/>
      <c r="AD376" s="447"/>
      <c r="AE376" s="447"/>
      <c r="AF376" s="447"/>
      <c r="AG376" s="447"/>
      <c r="AH376" s="447"/>
    </row>
    <row r="377" spans="1:34" ht="51" hidden="1">
      <c r="A377" s="396"/>
      <c r="B377" s="386"/>
      <c r="C377" s="474" t="str">
        <f>CONCATENATE("2nd Class Brick Masonory in cm (1: 6) Prop using 2nd class bricks for Uniform Section( PIx1.13x0.23x0.4)-(PI/4*0.23*0.23*.23*2)=",E377)</f>
        <v>2nd Class Brick Masonory in cm (1: 6) Prop using 2nd class bricks for Uniform Section( PIx1.13x0.23x0.4)-(PI/4*0.23*0.23*.23*2)=1.73576709056579</v>
      </c>
      <c r="D377" s="338" t="s">
        <v>109</v>
      </c>
      <c r="E377" s="489">
        <f t="shared" si="45"/>
        <v>1.7357670905657898</v>
      </c>
      <c r="F377" s="472">
        <f>F337</f>
        <v>8504.4699999999993</v>
      </c>
      <c r="G377" s="477">
        <f t="shared" si="46"/>
        <v>14761.78</v>
      </c>
      <c r="H377" s="479">
        <f>ROUND(PI()/4*I371*I371*(($D$333/I371)*$F$333+(((I371-$D$333)/I371)*$F$332))*2,3)</f>
        <v>6.3E-2</v>
      </c>
      <c r="I377" s="479">
        <f>(PI()*($D$330+$F$333)*$F$333*$D$333)+(PI()*($D$330+$F$332)*$F$332*$D$332)-H377</f>
        <v>1.8927670905657898</v>
      </c>
      <c r="J377" s="479">
        <f>ROUND(PI()/4*K371*K371*(($D$333/K371)*$F$333+(((K371-$D$333)/K371)*$F$332))*2,3)</f>
        <v>8.6999999999999994E-2</v>
      </c>
      <c r="K377" s="479">
        <f>(PI()*($D$330+$F$333)*$F$333*$D$333)+(PI()*($D$330+$F$332)*$F$332*$D$332)-J377</f>
        <v>1.8687670905657898</v>
      </c>
      <c r="L377" s="479">
        <f>ROUND(PI()/4*M371*M371*(($D$333/M371)*$F$333+(((M371-$D$333)/M371)*$F$332))*2,3)</f>
        <v>0.126</v>
      </c>
      <c r="M377" s="479">
        <f>(PI()*($D$330+$F$333)*$F$333*$D$333)+(PI()*($D$330+$F$332)*$F$332*$D$332)-L377</f>
        <v>1.8297670905657899</v>
      </c>
      <c r="N377" s="479">
        <f>ROUND(PI()/4*O371*O371*(($D$333/O371)*$F$333+(((O371-$D$333)/O371)*$F$332))*2,3)</f>
        <v>0.22</v>
      </c>
      <c r="O377" s="479">
        <f>(PI()*($D$330+$F$333)*$F$333*$D$333)+(PI()*($D$330+$F$332)*$F$332*$D$332)-N377</f>
        <v>1.7357670905657898</v>
      </c>
      <c r="P377" s="479">
        <f>ROUND(PI()/4*Q371*Q371*(($D$333/Q371)*$F$333+(((Q371-$D$333)/Q371)*$F$332))*2,3)</f>
        <v>0.33</v>
      </c>
      <c r="Q377" s="479">
        <f>(PI()*($D$330+$F$333)*$F$333*$D$333)+(PI()*($D$330+$F$332)*$F$332*$D$332)-P377</f>
        <v>1.6257670905657897</v>
      </c>
      <c r="R377" s="479">
        <f>ROUND(PI()/4*S371*S371*(($D$333/S371)*$F$333+(((S371-$D$333)/S371)*$F$332))*2,3)</f>
        <v>0.52200000000000002</v>
      </c>
      <c r="S377" s="479">
        <f>(PI()*($D$330+$F$333)*$F$333*$D$333)+(PI()*($D$330+$F$332)*$F$332*$D$332)-R377</f>
        <v>1.4337670905657898</v>
      </c>
      <c r="T377" s="479">
        <f>ROUND(PI()/4*U371*U371*(($D$333/U371)*$F$333+(((U371-$D$333)/U371)*$F$332))*2,3)</f>
        <v>0.755</v>
      </c>
      <c r="U377" s="479">
        <f>(PI()*($D$330+$F$333)*$F$333*$D$333)+(PI()*($D$330+$F$332)*$F$332*$D$332)-T377</f>
        <v>1.2007670905657899</v>
      </c>
      <c r="V377" s="465"/>
      <c r="W377" s="465"/>
      <c r="X377" s="465"/>
      <c r="Y377" s="465"/>
      <c r="Z377" s="465"/>
      <c r="AA377" s="465"/>
      <c r="AB377" s="465"/>
      <c r="AC377" s="465"/>
      <c r="AD377" s="465"/>
      <c r="AE377" s="465"/>
      <c r="AF377" s="465"/>
      <c r="AG377" s="465"/>
      <c r="AH377" s="465"/>
    </row>
    <row r="378" spans="1:34" ht="51" hidden="1">
      <c r="A378" s="396"/>
      <c r="B378" s="386"/>
      <c r="C378" s="474" t="str">
        <f>CONCATENATE("2nd Class Brick Masonory work  in cm (1: 6) )Prop using 2nd class bricks for Carbelling Portion Pix(1.13+0.78)/2x0.23x(0.6-.25)=",E378)</f>
        <v>2nd Class Brick Masonory work  in cm (1: 6) )Prop using 2nd class bricks for Carbelling Portion Pix(1.13+0.78)/2x0.23x(0.6-.25)=1.04699858366187</v>
      </c>
      <c r="D378" s="338" t="s">
        <v>109</v>
      </c>
      <c r="E378" s="489">
        <f t="shared" si="45"/>
        <v>1.0469985836618703</v>
      </c>
      <c r="F378" s="472">
        <f>F377</f>
        <v>8504.4699999999993</v>
      </c>
      <c r="G378" s="477">
        <f t="shared" si="46"/>
        <v>8904.17</v>
      </c>
      <c r="H378" s="389"/>
      <c r="I378" s="389">
        <f>(PI()*(($D$330+$F$331+$D$334+$F$331)/2)*$F$331)*($D$331-0.25)</f>
        <v>1.0469985836618703</v>
      </c>
      <c r="J378" s="389"/>
      <c r="K378" s="389">
        <f>(PI()*(($D$330+$F$331+$D$334+$F$331)/2)*$F$331)*($D$331-0.25)</f>
        <v>1.0469985836618703</v>
      </c>
      <c r="L378" s="493"/>
      <c r="M378" s="389">
        <f>(PI()*(($D$330+$F$331+$D$334+$F$331)/2)*$F$331)*($D$331-0.25)</f>
        <v>1.0469985836618703</v>
      </c>
      <c r="N378" s="389"/>
      <c r="O378" s="389">
        <f>(PI()*(($D$330+$F$331+$D$334+$F$331)/2)*$F$331)*($D$331-0.25)</f>
        <v>1.0469985836618703</v>
      </c>
      <c r="P378" s="389"/>
      <c r="Q378" s="389">
        <f>(PI()*(($D$330+$F$331+$D$334+$F$331)/2)*$F$331)*($D$331-0.25)</f>
        <v>1.0469985836618703</v>
      </c>
      <c r="R378" s="493"/>
      <c r="S378" s="389">
        <f>(PI()*(($D$330+$F$331+$D$334+$F$331)/2)*$F$331)*($D$331-0.25)</f>
        <v>1.0469985836618703</v>
      </c>
      <c r="T378" s="493"/>
      <c r="U378" s="389">
        <f>(PI()*(($D$330+$F$331+$D$334+$F$331)/2)*$F$331)*($D$331-0.25)</f>
        <v>1.0469985836618703</v>
      </c>
      <c r="V378" s="165"/>
      <c r="W378" s="165"/>
      <c r="X378" s="165"/>
      <c r="Y378" s="165"/>
      <c r="Z378" s="165"/>
      <c r="AA378" s="165"/>
      <c r="AB378" s="165"/>
      <c r="AC378" s="165"/>
      <c r="AD378" s="165"/>
      <c r="AE378" s="165"/>
      <c r="AF378" s="165"/>
      <c r="AG378" s="165"/>
      <c r="AH378" s="165"/>
    </row>
    <row r="379" spans="1:34" ht="51" hidden="1">
      <c r="A379" s="396"/>
      <c r="B379" s="386"/>
      <c r="C379" s="970" t="str">
        <f>CONCATENATE("External Plastering in CM(1:4) of 12 mm thick vertical portion Pix(.9+.23*2)x0.40 and sloped portion Pix(1.36+1.01)/2x(0.6-.25)  Dedcut Pipe Portion 2xPI()/4x0.23x0.23=",E379)</f>
        <v>External Plastering in CM(1:4) of 12 mm thick vertical portion Pix(.9+.23*2)x0.40 and sloped portion Pix(1.36+1.01)/2x(0.6-.25)  Dedcut Pipe Portion 2xPI()/4x0.23x0.23=11.6912246261375</v>
      </c>
      <c r="D379" s="338" t="s">
        <v>224</v>
      </c>
      <c r="E379" s="489">
        <f t="shared" si="45"/>
        <v>11.691224626137501</v>
      </c>
      <c r="F379" s="472">
        <f>F338</f>
        <v>170.45499999999998</v>
      </c>
      <c r="G379" s="477">
        <f t="shared" si="46"/>
        <v>1992.83</v>
      </c>
      <c r="H379" s="389">
        <f>ROUND(PI()/4*I371*I371*2,3)</f>
        <v>9.4E-2</v>
      </c>
      <c r="I379" s="389">
        <f>(PI()*($D$330+2*($F$333))*($D$333))+(PI()*($D$330+(2*$F$333))*$D$333)+(PI()*(($D$330+2*($F$331)+$D$334+2*($F$331))/2)*($D$331-0.25))-H379</f>
        <v>17.729825920141693</v>
      </c>
      <c r="J379" s="389">
        <f>ROUND(PI()/4*K371*K371*2,3)</f>
        <v>0.151</v>
      </c>
      <c r="K379" s="389">
        <f>(PI()*($D$330+2*($F$333))*($D$333))+(PI()*($D$330+(2*$F$333))*$D$333)+(PI()*(($D$330+2*($F$331)+$D$334+2*($F$331))/2)*($D$331-0.25))-J379</f>
        <v>17.672825920141694</v>
      </c>
      <c r="L379" s="389">
        <f>ROUND(PI()/4*M371*M371*2,3)</f>
        <v>0.251</v>
      </c>
      <c r="M379" s="389">
        <f>(PI()*($D$330+2*($F$333))*($D$333))+(PI()*($D$330+(2*$F$333))*$D$333)+(PI()*(($D$330+2*($F$331)+$D$334+2*($F$331))/2)*($D$331-0.25))-L379</f>
        <v>17.572825920141693</v>
      </c>
      <c r="N379" s="389">
        <f>ROUND(PI()/4*O371*O371*2,3)</f>
        <v>0.52800000000000002</v>
      </c>
      <c r="O379" s="389">
        <f>(PI()*($D$330+2*($F$333))*($D$333))+(PI()*($D$330+(2*$F$332))*$D$332)+(PI()*(($D$330+2*($F$331)+$D$334+2*($F$331))/2)*($D$331-0.25))-N379</f>
        <v>11.691224626137501</v>
      </c>
      <c r="P379" s="389">
        <f>ROUND(PI()/4*Q371*Q371*2,3)</f>
        <v>0.88400000000000001</v>
      </c>
      <c r="Q379" s="389">
        <f>(PI()*($D$330+2*($F$333))*($D$333))+(PI()*($D$330+(2*$F$333))*$D$333)+(PI()*(($D$330+2*($F$331)+$D$334+2*($F$331))/2)*($D$331-0.25))-P379</f>
        <v>16.939825920141693</v>
      </c>
      <c r="R379" s="389">
        <f>ROUND(PI()/4*S371*S371*2,3)</f>
        <v>1.54</v>
      </c>
      <c r="S379" s="389">
        <f>(PI()*($D$330+2*($F$333))*($D$333))+(PI()*($D$330+(2*$F$333))*$D$333)+(PI()*(($D$330+2*($F$331)+$D$334+2*($F$331))/2)*($D$331-0.25))-R379</f>
        <v>16.283825920141695</v>
      </c>
      <c r="T379" s="389">
        <f>ROUND(PI()/4*U371*U371*2,3)</f>
        <v>2.3759999999999999</v>
      </c>
      <c r="U379" s="389">
        <f>(PI()*($D$330+2*($F$333))*($D$333))+(PI()*($D$330+(2*$F$333))*$D$333)+(PI()*(($D$330+2*($F$331)+$D$334+2*($F$331))/2)*($D$331-0.25))-T379</f>
        <v>15.447825920141694</v>
      </c>
      <c r="V379" s="165"/>
      <c r="W379" s="165"/>
      <c r="X379" s="165"/>
      <c r="Y379" s="165"/>
      <c r="Z379" s="165"/>
      <c r="AA379" s="165"/>
      <c r="AB379" s="165"/>
      <c r="AC379" s="165"/>
      <c r="AD379" s="165"/>
      <c r="AE379" s="165"/>
      <c r="AF379" s="165"/>
      <c r="AG379" s="165"/>
      <c r="AH379" s="165"/>
    </row>
    <row r="380" spans="1:34" ht="51" hidden="1">
      <c r="A380" s="396"/>
      <c r="B380" s="386"/>
      <c r="C380" s="474" t="str">
        <f>CONCATENATE("Internal Plastering in CM(1:4) of 20 mm thick uniform portion PIx0.90x0.4 and Sloped Portion Pix(0.90+0.56)/2x(.6-.25)  Dedcut Pipe Portion 2xPI()/4x0.25x0.25=",E380)</f>
        <v>Internal Plastering in CM(1:4) of 20 mm thick uniform portion PIx0.90x0.4 and Sloped Portion Pix(0.90+0.56)/2x(.6-.25)  Dedcut Pipe Portion 2xPI()/4x0.25x0.25=5.7006054785618</v>
      </c>
      <c r="D380" s="338" t="s">
        <v>224</v>
      </c>
      <c r="E380" s="399">
        <f t="shared" si="45"/>
        <v>5.7006054785617977</v>
      </c>
      <c r="F380" s="472">
        <f>F339</f>
        <v>259.48599999999999</v>
      </c>
      <c r="G380" s="477">
        <f t="shared" si="46"/>
        <v>1479.23</v>
      </c>
      <c r="H380" s="389">
        <f>ROUND(PI()*$D$330*I371,3)</f>
        <v>1.1499999999999999</v>
      </c>
      <c r="I380" s="490">
        <f>((PI()*$D$330*$D$333)+(PI()*($D$330)*$D$332)+(PI()*($D$330+$D$334)/2*($D$331-0.175)))-H380</f>
        <v>7.5262935110516107</v>
      </c>
      <c r="J380" s="389">
        <f>ROUND(PI()*$D$330*K371,3)</f>
        <v>1.4610000000000001</v>
      </c>
      <c r="K380" s="490">
        <f>((PI()*$D$330*$D$333)+(PI()*($D$330)*$D$332)+(PI()*($D$330+$D$334)/2*($D$331-0.175)))-J380</f>
        <v>7.2152935110516108</v>
      </c>
      <c r="L380" s="389">
        <f>ROUND(PI()*$D$330*M371,3)</f>
        <v>1.885</v>
      </c>
      <c r="M380" s="490">
        <f>((PI()*$D$330*$D$333)+(PI()*($D$330)*$D$332)+(PI()*($D$330+$D$334)/2*($D$331-0.175)))-L380</f>
        <v>6.7912935110516113</v>
      </c>
      <c r="N380" s="389">
        <f>ROUND(PI()*$D$330*O371,3)</f>
        <v>2.7330000000000001</v>
      </c>
      <c r="O380" s="490">
        <f>((PI()*$D$330*$D$333)+(PI()*($D$330)*$D$332)+(PI()*($D$330+$D$334)/2*($D$331-0.25)))-N380</f>
        <v>5.7006054785617977</v>
      </c>
      <c r="P380" s="389">
        <f>ROUND(PI()*$D$330*Q371,3)</f>
        <v>3.5339999999999998</v>
      </c>
      <c r="Q380" s="490">
        <f>((PI()*$D$330*$D$333)+(PI()*($D$330)*$D$332)+(PI()*($D$330+$D$334)/2*($D$331-0.175)))-P380</f>
        <v>5.1422935110516113</v>
      </c>
      <c r="R380" s="389">
        <f>ROUND(PI()*$D$330*S371,3)</f>
        <v>4.665</v>
      </c>
      <c r="S380" s="490">
        <f>((PI()*$D$330*$D$333)+(PI()*($D$330)*$D$332)+(PI()*($D$330+$D$334)/2*($D$331-0.175)))-R380</f>
        <v>4.011293511051611</v>
      </c>
      <c r="T380" s="389">
        <f>ROUND(PI()*$D$330*U371,3)</f>
        <v>5.7960000000000003</v>
      </c>
      <c r="U380" s="490">
        <f>((PI()*$D$330*$D$333)+(PI()*($D$330)*$D$332)+(PI()*($D$330+$D$334)/2*($D$331-0.175)))-T380</f>
        <v>2.8802935110516108</v>
      </c>
      <c r="V380" s="467"/>
      <c r="W380" s="467"/>
      <c r="X380" s="467"/>
      <c r="Y380" s="467"/>
      <c r="Z380" s="467"/>
      <c r="AA380" s="467"/>
      <c r="AB380" s="467"/>
      <c r="AC380" s="467"/>
      <c r="AD380" s="467"/>
      <c r="AE380" s="467"/>
      <c r="AF380" s="467"/>
      <c r="AG380" s="467"/>
      <c r="AH380" s="467"/>
    </row>
    <row r="381" spans="1:34" ht="51" hidden="1">
      <c r="A381" s="396"/>
      <c r="B381" s="386"/>
      <c r="C381" s="473" t="str">
        <f>CONCATENATE("CC Channeling with (1:2.5:5) Prop  PIx0.9x0.9x0.30/4 = over Manhole alround for Cover PIx0.81x0.15x0.10= deduct Channel 0.90x0.25x0.25=",E381)</f>
        <v>CC Channeling with (1:2.5:5) Prop  PIx0.9x0.9x0.30/4 = over Manhole alround for Cover PIx0.81x0.15x0.10= deduct Channel 0.90x0.25x0.25=0.0712344904126452</v>
      </c>
      <c r="D381" s="338" t="s">
        <v>109</v>
      </c>
      <c r="E381" s="489">
        <f t="shared" si="45"/>
        <v>7.1234490412645235E-2</v>
      </c>
      <c r="F381" s="472">
        <f>F340</f>
        <v>6018.18</v>
      </c>
      <c r="G381" s="477">
        <f t="shared" si="46"/>
        <v>428.7</v>
      </c>
      <c r="H381" s="389">
        <f>ROUND($D$330*(PI()/4)*I371*I371,3)</f>
        <v>7.0000000000000007E-2</v>
      </c>
      <c r="I381" s="389">
        <f>(((PI()*$D$330^2/4)*I371)+(PI()*($D$330+$F$331)*$F$333*0.075)+(PI()*(0.71+0.08)*0.08*0.175))-H381</f>
        <v>0.53859718283504865</v>
      </c>
      <c r="J381" s="389">
        <f>ROUND($D$330*(PI()/4)*K371*K371,3)</f>
        <v>0.113</v>
      </c>
      <c r="K381" s="389">
        <f>(((PI()*$D$330^2/4)*K371)+(PI()*($D$330+$F$331)*$F$333*0.075)+(PI()*(0.71+0.08)*0.08*0.175))-J381</f>
        <v>0.61222881009956975</v>
      </c>
      <c r="L381" s="389">
        <f>ROUND($D$330*(PI()/4)*M371*M371,3)</f>
        <v>0.188</v>
      </c>
      <c r="M381" s="389">
        <f>(((PI()*$D$330^2/4)*M371)+(PI()*($D$330+$F$331)*$F$333*0.075)+(PI()*(0.71+0.08)*0.08*0.175))-L381</f>
        <v>0.69627193818755306</v>
      </c>
      <c r="N381" s="389">
        <f>ROUND($D$330*(PI()/4)*O371*O371,3)*(1/2)</f>
        <v>0.19800000000000001</v>
      </c>
      <c r="O381" s="389">
        <f>(((PI()*$D$330^2/4)*0.1)+(PI()*($D$334+$F$331)*$F$331*0.1)+(PI()*(0.71+2*0.075+0.08)*0.08*0.15))-N381</f>
        <v>7.1234490412645235E-2</v>
      </c>
      <c r="P381" s="389">
        <f>ROUND($D$330*(PI()/4)*Q371*Q371,3)</f>
        <v>0.66300000000000003</v>
      </c>
      <c r="Q381" s="389">
        <f>(((PI()*$D$330^2/4)*Q371)+(PI()*($D$330+$F$331)*$F$333*0.075)+(PI()*(0.71+0.08)*0.08*0.175))-P381</f>
        <v>0.83977299186304344</v>
      </c>
      <c r="R381" s="389">
        <f>ROUND($D$330*(PI()/4)*S371*S371,3)</f>
        <v>1.155</v>
      </c>
      <c r="S381" s="389">
        <f>(((PI()*$D$330^2/4)*S371)+(PI()*($D$330+$F$331)*$F$333*0.075)+(PI()*(0.71+0.08)*0.08*0.175))-R381</f>
        <v>0.77188800009766556</v>
      </c>
      <c r="T381" s="389">
        <f>ROUND($D$330*(PI()/4)*U371*U371,3)</f>
        <v>1.782</v>
      </c>
      <c r="U381" s="389">
        <f>(((PI()*$D$330^2/4)*U371)+(PI()*($D$330+$F$331)*$F$333*0.075)+(PI()*(0.71+0.08)*0.08*0.175))-T381</f>
        <v>0.56900300833228767</v>
      </c>
      <c r="V381" s="165"/>
      <c r="W381" s="165"/>
      <c r="X381" s="165"/>
      <c r="Y381" s="165"/>
      <c r="Z381" s="165"/>
      <c r="AA381" s="165"/>
      <c r="AB381" s="165"/>
      <c r="AC381" s="165"/>
      <c r="AD381" s="165"/>
      <c r="AE381" s="165"/>
      <c r="AF381" s="165"/>
      <c r="AG381" s="165"/>
      <c r="AH381" s="165"/>
    </row>
    <row r="382" spans="1:34" hidden="1">
      <c r="A382" s="396"/>
      <c r="B382" s="386"/>
      <c r="C382" s="473" t="s">
        <v>225</v>
      </c>
      <c r="D382" s="338" t="s">
        <v>226</v>
      </c>
      <c r="E382" s="399">
        <v>3</v>
      </c>
      <c r="F382" s="472">
        <f>F341</f>
        <v>81</v>
      </c>
      <c r="G382" s="477">
        <f t="shared" si="46"/>
        <v>243</v>
      </c>
      <c r="H382" s="477"/>
      <c r="I382" s="389"/>
      <c r="J382" s="389"/>
      <c r="K382" s="389"/>
      <c r="L382" s="389"/>
      <c r="M382" s="389"/>
      <c r="N382" s="389"/>
      <c r="O382" s="389"/>
      <c r="P382" s="389"/>
      <c r="Q382" s="389"/>
      <c r="R382" s="540"/>
      <c r="S382" s="540"/>
      <c r="T382" s="540"/>
      <c r="U382" s="540"/>
    </row>
    <row r="383" spans="1:34" hidden="1">
      <c r="A383" s="396"/>
      <c r="B383" s="386"/>
      <c r="C383" s="480" t="s">
        <v>106</v>
      </c>
      <c r="D383" s="338" t="s">
        <v>226</v>
      </c>
      <c r="E383" s="399"/>
      <c r="F383" s="472" t="s">
        <v>154</v>
      </c>
      <c r="G383" s="414">
        <f>SUM(G376:G382)</f>
        <v>35737.26</v>
      </c>
      <c r="H383" s="414"/>
      <c r="I383" s="389"/>
      <c r="J383" s="389"/>
      <c r="K383" s="389"/>
      <c r="L383" s="389"/>
      <c r="M383" s="389"/>
      <c r="N383" s="389"/>
      <c r="O383" s="389"/>
      <c r="P383" s="389"/>
      <c r="Q383" s="389"/>
      <c r="R383" s="540"/>
      <c r="S383" s="540"/>
      <c r="T383" s="540"/>
      <c r="U383" s="540"/>
    </row>
    <row r="384" spans="1:34" hidden="1">
      <c r="A384" s="396"/>
      <c r="B384" s="386"/>
      <c r="C384" s="480"/>
      <c r="D384" s="397"/>
      <c r="E384" s="399"/>
      <c r="F384" s="472"/>
      <c r="G384" s="414"/>
      <c r="H384" s="475"/>
      <c r="I384" s="389"/>
      <c r="J384" s="389"/>
      <c r="K384" s="389"/>
      <c r="L384" s="389"/>
      <c r="M384" s="389"/>
      <c r="N384" s="389"/>
      <c r="O384" s="389"/>
      <c r="P384" s="389"/>
      <c r="Q384" s="389"/>
      <c r="R384" s="657"/>
      <c r="S384" s="657"/>
      <c r="T384" s="657"/>
      <c r="U384" s="657"/>
      <c r="V384" s="197"/>
      <c r="W384" s="197"/>
      <c r="X384" s="197"/>
      <c r="Y384" s="197"/>
      <c r="Z384" s="197"/>
      <c r="AA384" s="197"/>
      <c r="AB384" s="197"/>
      <c r="AC384" s="197"/>
      <c r="AD384" s="197"/>
      <c r="AE384" s="197"/>
      <c r="AF384" s="197"/>
      <c r="AG384" s="197"/>
      <c r="AH384" s="197"/>
    </row>
    <row r="385" spans="1:34" hidden="1">
      <c r="A385" s="396"/>
      <c r="B385" s="386"/>
      <c r="C385" s="481" t="s">
        <v>319</v>
      </c>
      <c r="D385" s="388"/>
      <c r="E385" s="387"/>
      <c r="F385" s="475"/>
      <c r="G385" s="482"/>
      <c r="H385" s="475"/>
      <c r="I385" s="384"/>
      <c r="J385" s="384"/>
      <c r="K385" s="384"/>
      <c r="L385" s="384"/>
      <c r="M385" s="384"/>
      <c r="N385" s="384"/>
      <c r="O385" s="384"/>
      <c r="P385" s="384"/>
      <c r="Q385" s="384"/>
      <c r="R385" s="657"/>
      <c r="S385" s="657"/>
      <c r="T385" s="657"/>
      <c r="U385" s="657"/>
      <c r="V385" s="197"/>
      <c r="W385" s="197"/>
      <c r="X385" s="197"/>
      <c r="Y385" s="197"/>
      <c r="Z385" s="197"/>
      <c r="AA385" s="197"/>
      <c r="AB385" s="197"/>
      <c r="AC385" s="197"/>
      <c r="AD385" s="197"/>
      <c r="AE385" s="197"/>
      <c r="AF385" s="197"/>
      <c r="AG385" s="197"/>
      <c r="AH385" s="197"/>
    </row>
    <row r="386" spans="1:34" hidden="1">
      <c r="A386" s="396"/>
      <c r="B386" s="386"/>
      <c r="C386" s="481" t="s">
        <v>320</v>
      </c>
      <c r="D386" s="388" t="s">
        <v>109</v>
      </c>
      <c r="E386" s="483">
        <f>ROUND(E376*0.9+E381*0.9,2)</f>
        <v>1.39</v>
      </c>
      <c r="F386" s="475">
        <f>Lead!T255</f>
        <v>0</v>
      </c>
      <c r="G386" s="475">
        <v>0</v>
      </c>
      <c r="H386" s="384"/>
      <c r="I386" s="483">
        <f>ROUND(I376*0.9+I381*0.9,2)</f>
        <v>1.81</v>
      </c>
      <c r="J386" s="483"/>
      <c r="K386" s="483">
        <f>ROUND(K376*0.9+K381*0.9,2)</f>
        <v>1.88</v>
      </c>
      <c r="L386" s="384"/>
      <c r="M386" s="483">
        <f>ROUND(M376*0.9+M381*0.9,2)</f>
        <v>1.95</v>
      </c>
      <c r="N386" s="384"/>
      <c r="O386" s="483"/>
      <c r="P386" s="384"/>
      <c r="Q386" s="483"/>
      <c r="R386" s="657"/>
      <c r="S386" s="657"/>
      <c r="T386" s="657"/>
      <c r="U386" s="657"/>
      <c r="V386" s="197"/>
      <c r="W386" s="197"/>
      <c r="X386" s="197"/>
      <c r="Y386" s="197"/>
      <c r="Z386" s="197"/>
      <c r="AA386" s="197"/>
      <c r="AB386" s="197"/>
      <c r="AC386" s="197"/>
      <c r="AD386" s="197"/>
      <c r="AE386" s="197"/>
      <c r="AF386" s="197"/>
      <c r="AG386" s="197"/>
      <c r="AH386" s="197"/>
    </row>
    <row r="387" spans="1:34" hidden="1">
      <c r="A387" s="396"/>
      <c r="B387" s="386"/>
      <c r="C387" s="481" t="s">
        <v>321</v>
      </c>
      <c r="D387" s="388" t="s">
        <v>109</v>
      </c>
      <c r="E387" s="483">
        <f>ROUND((E377+E378)*0.2+(E379*0.015+E380*0.021)+(E376+E381)*0.45,2)</f>
        <v>1.55</v>
      </c>
      <c r="F387" s="475">
        <f>Lead!T248</f>
        <v>0</v>
      </c>
      <c r="G387" s="475">
        <v>0</v>
      </c>
      <c r="H387" s="384"/>
      <c r="I387" s="483">
        <f>ROUND((I377+I378)*0.2+(I379*0.015+I380*0.021)+(I376+I381)*0.45,2)</f>
        <v>1.92</v>
      </c>
      <c r="J387" s="483"/>
      <c r="K387" s="483">
        <f>ROUND((K377+K378)*0.2+(K379*0.015+K380*0.021)+(K376+K381)*0.45,2)</f>
        <v>1.94</v>
      </c>
      <c r="L387" s="384"/>
      <c r="M387" s="483">
        <f>ROUND((M377+M378)*0.2+(M379*0.015+M380*0.021)+(M376+M381)*0.45,2)</f>
        <v>1.96</v>
      </c>
      <c r="N387" s="384"/>
      <c r="O387" s="483"/>
      <c r="P387" s="384"/>
      <c r="Q387" s="483"/>
      <c r="R387" s="247"/>
      <c r="S387" s="247"/>
      <c r="T387" s="247"/>
      <c r="U387" s="247"/>
      <c r="V387" s="157"/>
      <c r="W387" s="157"/>
      <c r="X387" s="157"/>
      <c r="Y387" s="157"/>
      <c r="Z387" s="157"/>
      <c r="AA387" s="157"/>
      <c r="AB387" s="157"/>
      <c r="AC387" s="157"/>
      <c r="AD387" s="157"/>
      <c r="AE387" s="157"/>
      <c r="AF387" s="157"/>
      <c r="AG387" s="157"/>
      <c r="AH387" s="157"/>
    </row>
    <row r="388" spans="1:34" hidden="1">
      <c r="A388" s="396"/>
      <c r="B388" s="386"/>
      <c r="C388" s="481" t="s">
        <v>273</v>
      </c>
      <c r="D388" s="388"/>
      <c r="E388" s="387"/>
      <c r="F388" s="475" t="s">
        <v>154</v>
      </c>
      <c r="G388" s="482">
        <f>SUM(G383:G387)</f>
        <v>35737.26</v>
      </c>
      <c r="H388" s="384"/>
      <c r="I388" s="387"/>
      <c r="J388" s="387"/>
      <c r="K388" s="387"/>
      <c r="L388" s="384"/>
      <c r="M388" s="387"/>
      <c r="N388" s="384"/>
      <c r="O388" s="387"/>
      <c r="P388" s="384"/>
      <c r="Q388" s="387"/>
      <c r="R388" s="540"/>
      <c r="S388" s="540"/>
      <c r="T388" s="540"/>
      <c r="U388" s="540"/>
    </row>
    <row r="389" spans="1:34" hidden="1">
      <c r="A389" s="396"/>
      <c r="B389" s="386"/>
      <c r="C389" s="481"/>
      <c r="D389" s="388"/>
      <c r="E389" s="387"/>
      <c r="F389" s="475"/>
      <c r="G389" s="482"/>
      <c r="H389" s="384"/>
      <c r="I389" s="387"/>
      <c r="J389" s="387"/>
      <c r="K389" s="387"/>
      <c r="L389" s="384"/>
      <c r="M389" s="387"/>
      <c r="N389" s="384"/>
      <c r="O389" s="387"/>
      <c r="P389" s="384"/>
      <c r="Q389" s="387"/>
      <c r="R389" s="540"/>
      <c r="S389" s="540"/>
      <c r="T389" s="540"/>
      <c r="U389" s="540"/>
    </row>
    <row r="390" spans="1:34" ht="204" hidden="1">
      <c r="A390" s="396"/>
      <c r="B390" s="386">
        <v>13</v>
      </c>
      <c r="C390" s="492" t="s">
        <v>1244</v>
      </c>
      <c r="D390" s="338"/>
      <c r="E390" s="399"/>
      <c r="F390" s="472"/>
      <c r="G390" s="414"/>
      <c r="H390" s="1600" t="s">
        <v>446</v>
      </c>
      <c r="I390" s="1601"/>
      <c r="J390" s="1600" t="s">
        <v>440</v>
      </c>
      <c r="K390" s="1601"/>
      <c r="L390" s="1600" t="s">
        <v>439</v>
      </c>
      <c r="M390" s="1604"/>
      <c r="N390" s="1600" t="s">
        <v>717</v>
      </c>
      <c r="O390" s="1601"/>
      <c r="P390" s="1602" t="s">
        <v>718</v>
      </c>
      <c r="Q390" s="1603"/>
      <c r="R390" s="1600" t="s">
        <v>759</v>
      </c>
      <c r="S390" s="1601"/>
      <c r="T390" s="1600" t="s">
        <v>760</v>
      </c>
      <c r="U390" s="1601"/>
      <c r="V390" s="966"/>
      <c r="W390" s="966"/>
      <c r="X390" s="966"/>
      <c r="Y390" s="966"/>
      <c r="Z390" s="966"/>
      <c r="AA390" s="966"/>
      <c r="AB390" s="966"/>
      <c r="AC390" s="966"/>
      <c r="AD390" s="966"/>
      <c r="AE390" s="966"/>
      <c r="AF390" s="966"/>
      <c r="AG390" s="966"/>
      <c r="AH390" s="966"/>
    </row>
    <row r="391" spans="1:34" hidden="1">
      <c r="A391" s="396"/>
      <c r="B391" s="386"/>
      <c r="C391" s="474" t="s">
        <v>857</v>
      </c>
      <c r="D391" s="338">
        <v>1.5</v>
      </c>
      <c r="E391" s="399" t="s">
        <v>862</v>
      </c>
      <c r="F391" s="472">
        <v>0.3</v>
      </c>
      <c r="G391" s="414"/>
      <c r="H391" s="603" t="s">
        <v>856</v>
      </c>
      <c r="I391" s="604">
        <v>0.24399999999999999</v>
      </c>
      <c r="J391" s="603" t="s">
        <v>856</v>
      </c>
      <c r="K391" s="604">
        <v>0.31</v>
      </c>
      <c r="L391" s="603" t="s">
        <v>856</v>
      </c>
      <c r="M391" s="604">
        <v>0.4</v>
      </c>
      <c r="N391" s="603" t="s">
        <v>856</v>
      </c>
      <c r="O391" s="604">
        <v>0.57999999999999996</v>
      </c>
      <c r="P391" s="603" t="s">
        <v>856</v>
      </c>
      <c r="Q391" s="604">
        <v>0.75</v>
      </c>
      <c r="R391" s="603" t="s">
        <v>867</v>
      </c>
      <c r="S391" s="604">
        <v>0.99</v>
      </c>
      <c r="T391" s="603" t="s">
        <v>867</v>
      </c>
      <c r="U391" s="604">
        <v>1.23</v>
      </c>
      <c r="V391" s="967"/>
      <c r="W391" s="967"/>
      <c r="X391" s="967"/>
      <c r="Y391" s="967"/>
      <c r="Z391" s="967"/>
      <c r="AA391" s="967"/>
      <c r="AB391" s="967"/>
      <c r="AC391" s="967"/>
      <c r="AD391" s="967"/>
      <c r="AE391" s="967"/>
      <c r="AF391" s="967"/>
      <c r="AG391" s="967"/>
      <c r="AH391" s="967"/>
    </row>
    <row r="392" spans="1:34" hidden="1">
      <c r="A392" s="396"/>
      <c r="B392" s="386"/>
      <c r="C392" s="474" t="s">
        <v>858</v>
      </c>
      <c r="D392" s="338">
        <v>1.4</v>
      </c>
      <c r="E392" s="399" t="s">
        <v>859</v>
      </c>
      <c r="F392" s="472">
        <v>0.23</v>
      </c>
      <c r="G392" s="414"/>
      <c r="H392" s="603"/>
      <c r="I392" s="604"/>
      <c r="J392" s="603"/>
      <c r="K392" s="604"/>
      <c r="L392" s="603"/>
      <c r="M392" s="604"/>
      <c r="N392" s="603"/>
      <c r="O392" s="604"/>
      <c r="P392" s="603"/>
      <c r="Q392" s="604"/>
      <c r="R392" s="706"/>
      <c r="S392" s="707"/>
      <c r="T392" s="706"/>
      <c r="U392" s="707"/>
      <c r="V392" s="966"/>
      <c r="W392" s="966"/>
      <c r="X392" s="966"/>
      <c r="Y392" s="966"/>
      <c r="Z392" s="966"/>
      <c r="AA392" s="966"/>
      <c r="AB392" s="966"/>
      <c r="AC392" s="966"/>
      <c r="AD392" s="966"/>
      <c r="AE392" s="966"/>
      <c r="AF392" s="966"/>
      <c r="AG392" s="966"/>
      <c r="AH392" s="966"/>
    </row>
    <row r="393" spans="1:34" hidden="1">
      <c r="A393" s="396"/>
      <c r="B393" s="386"/>
      <c r="C393" s="474" t="s">
        <v>860</v>
      </c>
      <c r="D393" s="338">
        <v>0.1</v>
      </c>
      <c r="E393" s="399" t="s">
        <v>861</v>
      </c>
      <c r="F393" s="472">
        <v>0.23</v>
      </c>
      <c r="G393" s="414"/>
      <c r="H393" s="603"/>
      <c r="I393" s="604"/>
      <c r="J393" s="603"/>
      <c r="K393" s="604"/>
      <c r="L393" s="603"/>
      <c r="M393" s="604"/>
      <c r="N393" s="603"/>
      <c r="O393" s="604"/>
      <c r="P393" s="603"/>
      <c r="Q393" s="604"/>
      <c r="R393" s="706"/>
      <c r="S393" s="707"/>
      <c r="T393" s="706"/>
      <c r="U393" s="707"/>
      <c r="V393" s="966"/>
      <c r="W393" s="966"/>
      <c r="X393" s="966"/>
      <c r="Y393" s="966"/>
      <c r="Z393" s="966"/>
      <c r="AA393" s="966"/>
      <c r="AB393" s="966"/>
      <c r="AC393" s="966"/>
      <c r="AD393" s="966"/>
      <c r="AE393" s="966"/>
      <c r="AF393" s="966"/>
      <c r="AG393" s="966"/>
      <c r="AH393" s="966"/>
    </row>
    <row r="394" spans="1:34" hidden="1">
      <c r="A394" s="396"/>
      <c r="B394" s="386"/>
      <c r="C394" s="474" t="s">
        <v>865</v>
      </c>
      <c r="D394" s="338">
        <v>1.5</v>
      </c>
      <c r="E394" s="399" t="s">
        <v>866</v>
      </c>
      <c r="F394" s="472">
        <v>0.35</v>
      </c>
      <c r="G394" s="414"/>
      <c r="H394" s="603"/>
      <c r="I394" s="604"/>
      <c r="J394" s="603"/>
      <c r="K394" s="604"/>
      <c r="L394" s="603"/>
      <c r="M394" s="604"/>
      <c r="N394" s="603"/>
      <c r="O394" s="604"/>
      <c r="P394" s="603"/>
      <c r="Q394" s="604"/>
      <c r="R394" s="706"/>
      <c r="S394" s="707"/>
      <c r="T394" s="706"/>
      <c r="U394" s="707"/>
      <c r="V394" s="966"/>
      <c r="W394" s="966"/>
      <c r="X394" s="966"/>
      <c r="Y394" s="966"/>
      <c r="Z394" s="966"/>
      <c r="AA394" s="966"/>
      <c r="AB394" s="966"/>
      <c r="AC394" s="966"/>
      <c r="AD394" s="966"/>
      <c r="AE394" s="966"/>
      <c r="AF394" s="966"/>
      <c r="AG394" s="966"/>
      <c r="AH394" s="966"/>
    </row>
    <row r="395" spans="1:34" hidden="1">
      <c r="A395" s="396"/>
      <c r="B395" s="386"/>
      <c r="C395" s="474" t="s">
        <v>863</v>
      </c>
      <c r="D395" s="338">
        <v>0.56000000000000005</v>
      </c>
      <c r="E395" s="399"/>
      <c r="F395" s="472"/>
      <c r="G395" s="414"/>
      <c r="H395" s="603"/>
      <c r="I395" s="604"/>
      <c r="J395" s="603"/>
      <c r="K395" s="604"/>
      <c r="L395" s="603"/>
      <c r="M395" s="604"/>
      <c r="N395" s="603"/>
      <c r="O395" s="604"/>
      <c r="P395" s="603"/>
      <c r="Q395" s="604"/>
      <c r="R395" s="706"/>
      <c r="S395" s="707"/>
      <c r="T395" s="706"/>
      <c r="U395" s="707"/>
      <c r="V395" s="966"/>
      <c r="W395" s="966"/>
      <c r="X395" s="966"/>
      <c r="Y395" s="966"/>
      <c r="Z395" s="966"/>
      <c r="AA395" s="966"/>
      <c r="AB395" s="966"/>
      <c r="AC395" s="966"/>
      <c r="AD395" s="966"/>
      <c r="AE395" s="966"/>
      <c r="AF395" s="966"/>
      <c r="AG395" s="966"/>
      <c r="AH395" s="966"/>
    </row>
    <row r="396" spans="1:34" ht="25.5" hidden="1">
      <c r="A396" s="396"/>
      <c r="B396" s="386"/>
      <c r="C396" s="474" t="str">
        <f>CONCATENATE("CC in CM( 1:4:8) PI/4x(0.9+0.46+0.3)x0.15=",E396)</f>
        <v>CC in CM( 1:4:8) PI/4x(0.9+0.46+0.3)x0.15=5.42867210540316</v>
      </c>
      <c r="D396" s="338" t="s">
        <v>109</v>
      </c>
      <c r="E396" s="489">
        <f t="shared" ref="E396:E401" si="47">I396</f>
        <v>5.4286721054031624</v>
      </c>
      <c r="F396" s="472">
        <f>F376</f>
        <v>5383.2900000000009</v>
      </c>
      <c r="G396" s="477">
        <f t="shared" ref="G396:G402" si="48">+ROUND(E396*F396,2)</f>
        <v>29224.12</v>
      </c>
      <c r="H396" s="477"/>
      <c r="I396" s="477">
        <f>(PI()/4)*((D391+(2*D394))+0.3)^2*F391</f>
        <v>5.4286721054031624</v>
      </c>
      <c r="J396" s="477"/>
      <c r="K396" s="477">
        <f>(PI()/4)*(($D$330+(2*$F$333))+0.3)^2*$F$330</f>
        <v>1.4726215563702156</v>
      </c>
      <c r="L396" s="477"/>
      <c r="M396" s="477">
        <f>(PI()/4)*(($D$330+(2*$F$333))+0.3)^2*$F$330</f>
        <v>1.4726215563702156</v>
      </c>
      <c r="N396" s="477"/>
      <c r="O396" s="477">
        <f>(PI()/4)*(($D$330+(2*$F$333))+0.3)^2*$F$330</f>
        <v>1.4726215563702156</v>
      </c>
      <c r="P396" s="477"/>
      <c r="Q396" s="477">
        <f>(PI()/4)*(($D$330+(2*$F$333))+0.3)^2*$F$330</f>
        <v>1.4726215563702156</v>
      </c>
      <c r="R396" s="477"/>
      <c r="S396" s="477">
        <f>(PI()/4)*(($D$330+(2*$F$333))+0.3)^2*$F$330</f>
        <v>1.4726215563702156</v>
      </c>
      <c r="T396" s="477"/>
      <c r="U396" s="477">
        <f>(PI()/4)*(($D$330+(2*$F$333))+0.3)^2*$F$330</f>
        <v>1.4726215563702156</v>
      </c>
      <c r="V396" s="447"/>
      <c r="W396" s="447"/>
      <c r="X396" s="447"/>
      <c r="Y396" s="447"/>
      <c r="Z396" s="447"/>
      <c r="AA396" s="447"/>
      <c r="AB396" s="447"/>
      <c r="AC396" s="447"/>
      <c r="AD396" s="447"/>
      <c r="AE396" s="447"/>
      <c r="AF396" s="447"/>
      <c r="AG396" s="447"/>
      <c r="AH396" s="447"/>
    </row>
    <row r="397" spans="1:34" ht="51" hidden="1">
      <c r="A397" s="396"/>
      <c r="B397" s="386"/>
      <c r="C397" s="474" t="str">
        <f>CONCATENATE("2nd Class Brick Masonory in cm (1: 6) Prop using 2nd class bricks for Uniform Section( PIx1.13x0.23x0.4)-(PI/4*0.23*0.23*.23*2)=",E397)</f>
        <v>2nd Class Brick Masonory in cm (1: 6) Prop using 2nd class bricks for Uniform Section( PIx1.13x0.23x0.4)-(PI/4*0.23*0.23*.23*2)=3.11327583648542</v>
      </c>
      <c r="D397" s="338" t="s">
        <v>109</v>
      </c>
      <c r="E397" s="489">
        <f t="shared" si="47"/>
        <v>3.1132758364854243</v>
      </c>
      <c r="F397" s="472">
        <f>F377</f>
        <v>8504.4699999999993</v>
      </c>
      <c r="G397" s="477">
        <f t="shared" si="48"/>
        <v>26476.76</v>
      </c>
      <c r="H397" s="479">
        <f>ROUND(PI()/4*I391*I391*(($D$333/I391)*$F$333+(((I391-$D$333)/I391)*$F$332))*2,3)</f>
        <v>6.3E-2</v>
      </c>
      <c r="I397" s="479">
        <f>(PI()*(D391+F394)*F394*D394)+(PI()*(D391+F393)*F393*D393)-H397</f>
        <v>3.1132758364854243</v>
      </c>
      <c r="J397" s="479">
        <f>ROUND(PI()/4*K391*K391*(($D$333/K391)*$F$333+(((K391-$D$333)/K391)*$F$332))*2,3)</f>
        <v>8.6999999999999994E-2</v>
      </c>
      <c r="K397" s="479">
        <f>(PI()*($D$330+$F$333)*$F$333*$D$333)+(PI()*($D$330+$F$332)*$F$332*$D$332)-J397</f>
        <v>1.8687670905657898</v>
      </c>
      <c r="L397" s="479">
        <f>ROUND(PI()/4*M391*M391*(($D$333/M391)*$F$333+(((M391-$D$333)/M391)*$F$332))*2,3)</f>
        <v>0.126</v>
      </c>
      <c r="M397" s="479">
        <f>(PI()*($D$330+$F$333)*$F$333*$D$333)+(PI()*($D$330+$F$332)*$F$332*$D$332)-L397</f>
        <v>1.8297670905657899</v>
      </c>
      <c r="N397" s="479">
        <f>ROUND(PI()/4*O391*O391*(($D$333/O391)*$F$333+(((O391-$D$333)/O391)*$F$332))*2,3)</f>
        <v>0.22</v>
      </c>
      <c r="O397" s="479">
        <f>(PI()*($D$330+$F$333)*$F$333*$D$333)+(PI()*($D$330+$F$332)*$F$332*$D$332)-N397</f>
        <v>1.7357670905657898</v>
      </c>
      <c r="P397" s="479">
        <f>ROUND(PI()/4*Q391*Q391*(($D$333/Q391)*$F$333+(((Q391-$D$333)/Q391)*$F$332))*2,3)</f>
        <v>0.33</v>
      </c>
      <c r="Q397" s="479">
        <f>(PI()*($D$330+$F$333)*$F$333*$D$333)+(PI()*($D$330+$F$332)*$F$332*$D$332)-P397</f>
        <v>1.6257670905657897</v>
      </c>
      <c r="R397" s="479">
        <f>ROUND(PI()/4*S391*S391*(($D$333/S391)*$F$333+(((S391-$D$333)/S391)*$F$332))*2,3)</f>
        <v>0.52200000000000002</v>
      </c>
      <c r="S397" s="479">
        <f>(PI()*($D$330+$F$333)*$F$333*$D$333)+(PI()*($D$330+$F$332)*$F$332*$D$332)-R397</f>
        <v>1.4337670905657898</v>
      </c>
      <c r="T397" s="479">
        <f>ROUND(PI()/4*U391*U391*(($D$333/U391)*$F$333+(((U391-$D$333)/U391)*$F$332))*2,3)</f>
        <v>0.755</v>
      </c>
      <c r="U397" s="479">
        <f>(PI()*($D$330+$F$333)*$F$333*$D$333)+(PI()*($D$330+$F$332)*$F$332*$D$332)-T397</f>
        <v>1.2007670905657899</v>
      </c>
      <c r="V397" s="465"/>
      <c r="W397" s="465"/>
      <c r="X397" s="465"/>
      <c r="Y397" s="465"/>
      <c r="Z397" s="465"/>
      <c r="AA397" s="465"/>
      <c r="AB397" s="465"/>
      <c r="AC397" s="465"/>
      <c r="AD397" s="465"/>
      <c r="AE397" s="465"/>
      <c r="AF397" s="465"/>
      <c r="AG397" s="465"/>
      <c r="AH397" s="465"/>
    </row>
    <row r="398" spans="1:34" ht="51" hidden="1">
      <c r="A398" s="396"/>
      <c r="B398" s="386"/>
      <c r="C398" s="474" t="str">
        <f>CONCATENATE("2nd Class Brick Masonory work  in cm (1: 6) )Prop using 2nd class bricks for Carbelling Portion Pix(1.13+0.78)/2x0.23x(0.6-.25)=",E398)</f>
        <v>2nd Class Brick Masonory work  in cm (1: 6) )Prop using 2nd class bricks for Carbelling Portion Pix(1.13+0.78)/2x0.23x(0.6-.25)=1.04699858366187</v>
      </c>
      <c r="D398" s="338" t="s">
        <v>109</v>
      </c>
      <c r="E398" s="489">
        <f t="shared" si="47"/>
        <v>1.0469985836618703</v>
      </c>
      <c r="F398" s="472">
        <f>F397</f>
        <v>8504.4699999999993</v>
      </c>
      <c r="G398" s="477">
        <f t="shared" si="48"/>
        <v>8904.17</v>
      </c>
      <c r="H398" s="389"/>
      <c r="I398" s="389">
        <f>(PI()*(($D$330+$F$331+$D$334+$F$331)/2)*$F$331)*($D$331-0.25)</f>
        <v>1.0469985836618703</v>
      </c>
      <c r="J398" s="389"/>
      <c r="K398" s="389">
        <f>(PI()*(($D$330+$F$331+$D$334+$F$331)/2)*$F$331)*($D$331-0.25)</f>
        <v>1.0469985836618703</v>
      </c>
      <c r="L398" s="493"/>
      <c r="M398" s="389">
        <f>(PI()*(($D$330+$F$331+$D$334+$F$331)/2)*$F$331)*($D$331-0.25)</f>
        <v>1.0469985836618703</v>
      </c>
      <c r="N398" s="389"/>
      <c r="O398" s="389">
        <f>(PI()*(($D$330+$F$331+$D$334+$F$331)/2)*$F$331)*($D$331-0.25)</f>
        <v>1.0469985836618703</v>
      </c>
      <c r="P398" s="389"/>
      <c r="Q398" s="389">
        <f>(PI()*(($D$330+$F$331+$D$334+$F$331)/2)*$F$331)*($D$331-0.175)</f>
        <v>1.1152810999876444</v>
      </c>
      <c r="R398" s="493"/>
      <c r="S398" s="389">
        <f>(PI()*(($D$330+$F$331+$D$334+$F$331)/2)*$F$331)*($D$331-0.25)</f>
        <v>1.0469985836618703</v>
      </c>
      <c r="T398" s="493"/>
      <c r="U398" s="389">
        <f>(PI()*(($D$330+$F$331+$D$334+$F$331)/2)*$F$331)*($D$331-0.25)</f>
        <v>1.0469985836618703</v>
      </c>
      <c r="V398" s="165"/>
      <c r="W398" s="165"/>
      <c r="X398" s="165"/>
      <c r="Y398" s="165"/>
      <c r="Z398" s="165"/>
      <c r="AA398" s="165"/>
      <c r="AB398" s="165"/>
      <c r="AC398" s="165"/>
      <c r="AD398" s="165"/>
      <c r="AE398" s="165"/>
      <c r="AF398" s="165"/>
      <c r="AG398" s="165"/>
      <c r="AH398" s="165"/>
    </row>
    <row r="399" spans="1:34" ht="51" hidden="1">
      <c r="A399" s="396"/>
      <c r="B399" s="386"/>
      <c r="C399" s="970" t="str">
        <f>CONCATENATE("External Plastering in CM(1:4) of 12 mm thick vertical portion Pix(.9+.23*2)x0.40 and sloped portion Pix(1.36+1.01)/2x(0.6-.25)  Dedcut Pipe Portion 2xPI()/4x0.23x0.23=",E399)</f>
        <v>External Plastering in CM(1:4) of 12 mm thick vertical portion Pix(.9+.23*2)x0.40 and sloped portion Pix(1.36+1.01)/2x(0.6-.25)  Dedcut Pipe Portion 2xPI()/4x0.23x0.23=17.7298259201417</v>
      </c>
      <c r="D399" s="338" t="s">
        <v>224</v>
      </c>
      <c r="E399" s="489">
        <f t="shared" si="47"/>
        <v>17.729825920141693</v>
      </c>
      <c r="F399" s="472">
        <f>F379</f>
        <v>170.45499999999998</v>
      </c>
      <c r="G399" s="477">
        <f t="shared" si="48"/>
        <v>3022.14</v>
      </c>
      <c r="H399" s="389">
        <f>ROUND(PI()/4*I391*I391*2,3)</f>
        <v>9.4E-2</v>
      </c>
      <c r="I399" s="389">
        <f>(PI()*($D$330+2*($F$333))*($D$333))+(PI()*($D$330+(2*$F$333))*$D$333)+(PI()*(($D$330+2*($F$331)+$D$334+2*($F$331))/2)*($D$331-0.25))-H399</f>
        <v>17.729825920141693</v>
      </c>
      <c r="J399" s="389">
        <f>ROUND(PI()/4*K391*K391*2,3)</f>
        <v>0.151</v>
      </c>
      <c r="K399" s="389">
        <f>(PI()*($D$330+2*($F$333))*($D$333))+(PI()*($D$330+(2*$F$333))*$D$333)+(PI()*(($D$330+2*($F$331)+$D$334+2*($F$331))/2)*($D$331-0.25))-J399</f>
        <v>17.672825920141694</v>
      </c>
      <c r="L399" s="389">
        <f>ROUND(PI()/4*M391*M391*2,3)</f>
        <v>0.251</v>
      </c>
      <c r="M399" s="389">
        <f>(PI()*($D$330+2*($F$333))*($D$333))+(PI()*($D$330+(2*$F$333))*$D$333)+(PI()*(($D$330+2*($F$331)+$D$334+2*($F$331))/2)*($D$331-0.25))-L399</f>
        <v>17.572825920141693</v>
      </c>
      <c r="N399" s="389">
        <f>ROUND(PI()/4*O391*O391*2,3)</f>
        <v>0.52800000000000002</v>
      </c>
      <c r="O399" s="389">
        <f>(PI()*($D$330+2*($F$333))*($D$333))+(PI()*($D$330+(2*$F$333))*$D$333)+(PI()*(($D$330+2*($F$331)+$D$334+2*($F$331))/2)*($D$331-0.25))-N399</f>
        <v>17.295825920141695</v>
      </c>
      <c r="P399" s="389">
        <f>ROUND(PI()/4*Q391*Q391*2,3)</f>
        <v>0.88400000000000001</v>
      </c>
      <c r="Q399" s="389">
        <f>(PI()*($D$330+2*($F$333))*($D$333))+(PI()*($D$330+(2*$F$333))*$D$333)+(PI()*(($D$330+2*($F$331)+$D$334+2*($F$331))/2)*($D$331-0.175))-P399</f>
        <v>17.290898899180352</v>
      </c>
      <c r="R399" s="389">
        <f>ROUND(PI()/4*S391*S391*2,3)</f>
        <v>1.54</v>
      </c>
      <c r="S399" s="389">
        <f>(PI()*($D$330+2*($F$333))*($D$333))+(PI()*($D$330+(2*$F$333))*$D$333)+(PI()*(($D$330+2*($F$331)+$D$334+2*($F$331))/2)*($D$331-0.25))-R399</f>
        <v>16.283825920141695</v>
      </c>
      <c r="T399" s="389">
        <f>ROUND(PI()/4*U391*U391*2,3)</f>
        <v>2.3759999999999999</v>
      </c>
      <c r="U399" s="389">
        <f>(PI()*($D$330+2*($F$333))*($D$333))+(PI()*($D$330+(2*$F$333))*$D$333)+(PI()*(($D$330+2*($F$331)+$D$334+2*($F$331))/2)*($D$331-0.25))-T399</f>
        <v>15.447825920141694</v>
      </c>
      <c r="V399" s="165"/>
      <c r="W399" s="165"/>
      <c r="X399" s="165"/>
      <c r="Y399" s="165"/>
      <c r="Z399" s="165"/>
      <c r="AA399" s="165"/>
      <c r="AB399" s="165"/>
      <c r="AC399" s="165"/>
      <c r="AD399" s="165"/>
      <c r="AE399" s="165"/>
      <c r="AF399" s="165"/>
      <c r="AG399" s="165"/>
      <c r="AH399" s="165"/>
    </row>
    <row r="400" spans="1:34" ht="51" hidden="1">
      <c r="A400" s="396"/>
      <c r="B400" s="386"/>
      <c r="C400" s="474" t="str">
        <f>CONCATENATE("Internal Plastering in CM(1:4) of 20 mm thick uniform portion PIx0.90x0.4 and Sloped Portion Pix(0.90+0.56)/2x(.6-.25)  Dedcut Pipe Portion 2xPI()/4x0.25x0.25=",E400)</f>
        <v>Internal Plastering in CM(1:4) of 20 mm thick uniform portion PIx0.90x0.4 and Sloped Portion Pix(0.90+0.56)/2x(.6-.25)  Dedcut Pipe Portion 2xPI()/4x0.25x0.25=7.52629351105161</v>
      </c>
      <c r="D400" s="338" t="s">
        <v>224</v>
      </c>
      <c r="E400" s="399">
        <f t="shared" si="47"/>
        <v>7.5262935110516107</v>
      </c>
      <c r="F400" s="472">
        <f>F380</f>
        <v>259.48599999999999</v>
      </c>
      <c r="G400" s="477">
        <f t="shared" si="48"/>
        <v>1952.97</v>
      </c>
      <c r="H400" s="389">
        <f>ROUND(PI()*$D$330*I391,3)</f>
        <v>1.1499999999999999</v>
      </c>
      <c r="I400" s="490">
        <f>((PI()*$D$330*$D$333)+(PI()*($D$330)*$D$332)+(PI()*($D$330+$D$334)/2*($D$331-0.175)))-H400</f>
        <v>7.5262935110516107</v>
      </c>
      <c r="J400" s="389">
        <f>ROUND(PI()*$D$330*K391,3)</f>
        <v>1.4610000000000001</v>
      </c>
      <c r="K400" s="490">
        <f>((PI()*$D$330*$D$333)+(PI()*($D$330)*$D$332)+(PI()*($D$330+$D$334)/2*($D$331-0.175)))-J400</f>
        <v>7.2152935110516108</v>
      </c>
      <c r="L400" s="389">
        <f>ROUND(PI()*$D$330*M391,3)</f>
        <v>1.885</v>
      </c>
      <c r="M400" s="490">
        <f>((PI()*$D$330*$D$333)+(PI()*($D$330)*$D$332)+(PI()*($D$330+$D$334)/2*($D$331-0.175)))-L400</f>
        <v>6.7912935110516113</v>
      </c>
      <c r="N400" s="389">
        <f>ROUND(PI()*$D$330*O391,3)</f>
        <v>2.7330000000000001</v>
      </c>
      <c r="O400" s="490">
        <f>((PI()*$D$330*$D$333)+(PI()*($D$330)*$D$332)+(PI()*($D$330+$D$334)/2*($D$331-0.175)))-N400</f>
        <v>5.9432935110516105</v>
      </c>
      <c r="P400" s="389">
        <f>ROUND(PI()*$D$330*Q391,3)</f>
        <v>3.5339999999999998</v>
      </c>
      <c r="Q400" s="490">
        <f>((PI()*$D$330*$D$333)+(PI()*($D$330)*$D$332)+(PI()*($D$330+$D$334)/2*($D$331-0.175)))-P400</f>
        <v>5.1422935110516113</v>
      </c>
      <c r="R400" s="389">
        <f>ROUND(PI()*$D$330*S391,3)</f>
        <v>4.665</v>
      </c>
      <c r="S400" s="490">
        <f>((PI()*$D$330*$D$333)+(PI()*($D$330)*$D$332)+(PI()*($D$330+$D$334)/2*($D$331-0.175)))-R400</f>
        <v>4.011293511051611</v>
      </c>
      <c r="T400" s="389">
        <f>ROUND(PI()*$D$330*U391,3)</f>
        <v>5.7960000000000003</v>
      </c>
      <c r="U400" s="490">
        <f>((PI()*$D$330*$D$333)+(PI()*($D$330)*$D$332)+(PI()*($D$330+$D$334)/2*($D$331-0.175)))-T400</f>
        <v>2.8802935110516108</v>
      </c>
      <c r="V400" s="467"/>
      <c r="W400" s="467"/>
      <c r="X400" s="467"/>
      <c r="Y400" s="467"/>
      <c r="Z400" s="467"/>
      <c r="AA400" s="467"/>
      <c r="AB400" s="467"/>
      <c r="AC400" s="467"/>
      <c r="AD400" s="467"/>
      <c r="AE400" s="467"/>
      <c r="AF400" s="467"/>
      <c r="AG400" s="467"/>
      <c r="AH400" s="467"/>
    </row>
    <row r="401" spans="1:34" ht="51" hidden="1">
      <c r="A401" s="396"/>
      <c r="B401" s="386"/>
      <c r="C401" s="473" t="str">
        <f>CONCATENATE("CC Channeling with (1:2.5:5) Prop  PIx0.9x0.9x0.30/4 = over Manhole alround for Cover PIx0.81x0.15x0.10= deduct Channel 0.90x0.25x0.25=",E401)</f>
        <v>CC Channeling with (1:2.5:5) Prop  PIx0.9x0.9x0.30/4 = over Manhole alround for Cover PIx0.81x0.15x0.10= deduct Channel 0.90x0.25x0.25=0.538597182835049</v>
      </c>
      <c r="D401" s="338" t="s">
        <v>109</v>
      </c>
      <c r="E401" s="489">
        <f t="shared" si="47"/>
        <v>0.53859718283504865</v>
      </c>
      <c r="F401" s="472">
        <f>F381</f>
        <v>6018.18</v>
      </c>
      <c r="G401" s="477">
        <f t="shared" si="48"/>
        <v>3241.37</v>
      </c>
      <c r="H401" s="389">
        <f>ROUND($D$330*(PI()/4)*I391*I391,3)</f>
        <v>7.0000000000000007E-2</v>
      </c>
      <c r="I401" s="389">
        <f>(((PI()*$D$330^2/4)*I391)+(PI()*($D$330+$F$331)*$F$333*0.075)+(PI()*(0.71+0.08)*0.08*0.175))-H401</f>
        <v>0.53859718283504865</v>
      </c>
      <c r="J401" s="389">
        <f>ROUND($D$330*(PI()/4)*K391*K391,3)</f>
        <v>0.113</v>
      </c>
      <c r="K401" s="389">
        <f>(((PI()*$D$330^2/4)*K391)+(PI()*($D$330+$F$331)*$F$333*0.075)+(PI()*(0.71+0.08)*0.08*0.175))-J401</f>
        <v>0.61222881009956975</v>
      </c>
      <c r="L401" s="389">
        <f>ROUND($D$330*(PI()/4)*M391*M391,3)</f>
        <v>0.188</v>
      </c>
      <c r="M401" s="389">
        <f>(((PI()*$D$330^2/4)*M391)+(PI()*($D$330+$F$331)*$F$333*0.075)+(PI()*(0.71+0.08)*0.08*0.175))-L401</f>
        <v>0.69627193818755306</v>
      </c>
      <c r="N401" s="389">
        <f>ROUND($D$330*(PI()/4)*O391*O391,3)</f>
        <v>0.39600000000000002</v>
      </c>
      <c r="O401" s="389">
        <f>(((PI()*$D$330^2/4)*O391)+(PI()*($D$330+$F$331)*$F$333*0.075)+(PI()*(0.71+0.08)*0.08*0.175))-N401</f>
        <v>0.80635819436351952</v>
      </c>
      <c r="P401" s="389">
        <f>ROUND($D$330*(PI()/4)*Q391*Q391,3)</f>
        <v>0.66300000000000003</v>
      </c>
      <c r="Q401" s="389">
        <f>(((PI()*$D$330^2/4)*Q391)+(PI()*($D$334+$F$331)*$F$331*0.075)+(PI()*(0.71+2*0.075+0.08)*0.08*0.1))-P401</f>
        <v>0.72879623137498406</v>
      </c>
      <c r="R401" s="389">
        <f>ROUND($D$330*(PI()/4)*S391*S391,3)</f>
        <v>1.155</v>
      </c>
      <c r="S401" s="389">
        <f>(((PI()*$D$330^2/4)*S391)+(PI()*($D$330+$F$331)*$F$333*0.075)+(PI()*(0.71+0.08)*0.08*0.175))-R401</f>
        <v>0.77188800009766556</v>
      </c>
      <c r="T401" s="389">
        <f>ROUND($D$330*(PI()/4)*U391*U391,3)</f>
        <v>1.782</v>
      </c>
      <c r="U401" s="389">
        <f>(((PI()*$D$330^2/4)*U391)+(PI()*($D$330+$F$331)*$F$333*0.075)+(PI()*(0.71+0.08)*0.08*0.175))-T401</f>
        <v>0.56900300833228767</v>
      </c>
      <c r="V401" s="165"/>
      <c r="W401" s="165"/>
      <c r="X401" s="165"/>
      <c r="Y401" s="165"/>
      <c r="Z401" s="165"/>
      <c r="AA401" s="165"/>
      <c r="AB401" s="165"/>
      <c r="AC401" s="165"/>
      <c r="AD401" s="165"/>
      <c r="AE401" s="165"/>
      <c r="AF401" s="165"/>
      <c r="AG401" s="165"/>
      <c r="AH401" s="165"/>
    </row>
    <row r="402" spans="1:34" hidden="1">
      <c r="A402" s="396"/>
      <c r="B402" s="386"/>
      <c r="C402" s="473" t="s">
        <v>225</v>
      </c>
      <c r="D402" s="338" t="s">
        <v>226</v>
      </c>
      <c r="E402" s="399">
        <v>3</v>
      </c>
      <c r="F402" s="472">
        <f>F382</f>
        <v>81</v>
      </c>
      <c r="G402" s="477">
        <f t="shared" si="48"/>
        <v>243</v>
      </c>
      <c r="H402" s="477"/>
      <c r="I402" s="389"/>
      <c r="J402" s="389"/>
      <c r="K402" s="389"/>
      <c r="L402" s="389"/>
      <c r="M402" s="389"/>
      <c r="N402" s="389"/>
      <c r="O402" s="389"/>
      <c r="P402" s="389"/>
      <c r="Q402" s="389"/>
      <c r="R402" s="540"/>
      <c r="S402" s="540"/>
      <c r="T402" s="540"/>
      <c r="U402" s="540"/>
    </row>
    <row r="403" spans="1:34" hidden="1">
      <c r="A403" s="396"/>
      <c r="B403" s="386"/>
      <c r="C403" s="480" t="s">
        <v>106</v>
      </c>
      <c r="D403" s="338" t="s">
        <v>226</v>
      </c>
      <c r="E403" s="399"/>
      <c r="F403" s="472" t="s">
        <v>154</v>
      </c>
      <c r="G403" s="414">
        <f>SUM(G396:G402)</f>
        <v>73064.53</v>
      </c>
      <c r="H403" s="414"/>
      <c r="I403" s="389"/>
      <c r="J403" s="389"/>
      <c r="K403" s="389"/>
      <c r="L403" s="389"/>
      <c r="M403" s="389"/>
      <c r="N403" s="389"/>
      <c r="O403" s="389"/>
      <c r="P403" s="389"/>
      <c r="Q403" s="389"/>
      <c r="R403" s="540"/>
      <c r="S403" s="540"/>
      <c r="T403" s="540"/>
      <c r="U403" s="540"/>
    </row>
    <row r="404" spans="1:34" hidden="1">
      <c r="A404" s="396"/>
      <c r="B404" s="386"/>
      <c r="C404" s="480"/>
      <c r="D404" s="397"/>
      <c r="E404" s="399"/>
      <c r="F404" s="472"/>
      <c r="G404" s="414"/>
      <c r="H404" s="475"/>
      <c r="I404" s="389"/>
      <c r="J404" s="389"/>
      <c r="K404" s="389"/>
      <c r="L404" s="389"/>
      <c r="M404" s="389"/>
      <c r="N404" s="389"/>
      <c r="O404" s="389"/>
      <c r="P404" s="389"/>
      <c r="Q404" s="389"/>
      <c r="R404" s="657"/>
      <c r="S404" s="657"/>
      <c r="T404" s="657"/>
      <c r="U404" s="657"/>
      <c r="V404" s="197"/>
      <c r="W404" s="197"/>
      <c r="X404" s="197"/>
      <c r="Y404" s="197"/>
      <c r="Z404" s="197"/>
      <c r="AA404" s="197"/>
      <c r="AB404" s="197"/>
      <c r="AC404" s="197"/>
      <c r="AD404" s="197"/>
      <c r="AE404" s="197"/>
      <c r="AF404" s="197"/>
      <c r="AG404" s="197"/>
      <c r="AH404" s="197"/>
    </row>
    <row r="405" spans="1:34" hidden="1">
      <c r="A405" s="396"/>
      <c r="B405" s="386"/>
      <c r="C405" s="481" t="s">
        <v>319</v>
      </c>
      <c r="D405" s="388"/>
      <c r="E405" s="387"/>
      <c r="F405" s="475"/>
      <c r="G405" s="482"/>
      <c r="H405" s="475"/>
      <c r="I405" s="384"/>
      <c r="J405" s="384"/>
      <c r="K405" s="384"/>
      <c r="L405" s="384"/>
      <c r="M405" s="384"/>
      <c r="N405" s="384"/>
      <c r="O405" s="384"/>
      <c r="P405" s="384"/>
      <c r="Q405" s="384"/>
      <c r="R405" s="657"/>
      <c r="S405" s="657"/>
      <c r="T405" s="657"/>
      <c r="U405" s="657"/>
      <c r="V405" s="197"/>
      <c r="W405" s="197"/>
      <c r="X405" s="197"/>
      <c r="Y405" s="197"/>
      <c r="Z405" s="197"/>
      <c r="AA405" s="197"/>
      <c r="AB405" s="197"/>
      <c r="AC405" s="197"/>
      <c r="AD405" s="197"/>
      <c r="AE405" s="197"/>
      <c r="AF405" s="197"/>
      <c r="AG405" s="197"/>
      <c r="AH405" s="197"/>
    </row>
    <row r="406" spans="1:34" hidden="1">
      <c r="A406" s="396"/>
      <c r="B406" s="386"/>
      <c r="C406" s="481" t="s">
        <v>320</v>
      </c>
      <c r="D406" s="388" t="s">
        <v>109</v>
      </c>
      <c r="E406" s="483">
        <f>ROUND(E396*0.9+E401*0.9,2)</f>
        <v>5.37</v>
      </c>
      <c r="F406" s="475">
        <f>Lead!T275</f>
        <v>0</v>
      </c>
      <c r="G406" s="475">
        <v>0</v>
      </c>
      <c r="H406" s="384"/>
      <c r="I406" s="483">
        <f>ROUND(I396*0.9+I401*0.9,2)</f>
        <v>5.37</v>
      </c>
      <c r="J406" s="483"/>
      <c r="K406" s="483">
        <f>ROUND(K396*0.9+K401*0.9,2)</f>
        <v>1.88</v>
      </c>
      <c r="L406" s="384"/>
      <c r="M406" s="483">
        <f>ROUND(M396*0.9+M401*0.9,2)</f>
        <v>1.95</v>
      </c>
      <c r="N406" s="384"/>
      <c r="O406" s="483"/>
      <c r="P406" s="384"/>
      <c r="Q406" s="483"/>
      <c r="R406" s="657"/>
      <c r="S406" s="657"/>
      <c r="T406" s="657"/>
      <c r="U406" s="657"/>
      <c r="V406" s="197"/>
      <c r="W406" s="197"/>
      <c r="X406" s="197"/>
      <c r="Y406" s="197"/>
      <c r="Z406" s="197"/>
      <c r="AA406" s="197"/>
      <c r="AB406" s="197"/>
      <c r="AC406" s="197"/>
      <c r="AD406" s="197"/>
      <c r="AE406" s="197"/>
      <c r="AF406" s="197"/>
      <c r="AG406" s="197"/>
      <c r="AH406" s="197"/>
    </row>
    <row r="407" spans="1:34" hidden="1">
      <c r="A407" s="396"/>
      <c r="B407" s="386"/>
      <c r="C407" s="481" t="s">
        <v>321</v>
      </c>
      <c r="D407" s="388" t="s">
        <v>109</v>
      </c>
      <c r="E407" s="483">
        <f>ROUND((E397+E398)*0.2+(E399*0.015+E400*0.021)+(E396+E401)*0.45,2)</f>
        <v>3.94</v>
      </c>
      <c r="F407" s="475">
        <f>Lead!T268</f>
        <v>0</v>
      </c>
      <c r="G407" s="475">
        <v>0</v>
      </c>
      <c r="H407" s="384"/>
      <c r="I407" s="483">
        <f>ROUND((I397+I398)*0.2+(I399*0.015+I400*0.021)+(I396+I401)*0.45,2)</f>
        <v>3.94</v>
      </c>
      <c r="J407" s="483"/>
      <c r="K407" s="483">
        <f>ROUND((K397+K398)*0.2+(K399*0.015+K400*0.021)+(K396+K401)*0.45,2)</f>
        <v>1.94</v>
      </c>
      <c r="L407" s="384"/>
      <c r="M407" s="483">
        <f>ROUND((M397+M398)*0.2+(M399*0.015+M400*0.021)+(M396+M401)*0.45,2)</f>
        <v>1.96</v>
      </c>
      <c r="N407" s="384"/>
      <c r="O407" s="483"/>
      <c r="P407" s="384"/>
      <c r="Q407" s="483"/>
      <c r="R407" s="247"/>
      <c r="S407" s="247"/>
      <c r="T407" s="247"/>
      <c r="U407" s="247"/>
      <c r="V407" s="157"/>
      <c r="W407" s="157"/>
      <c r="X407" s="157"/>
      <c r="Y407" s="157"/>
      <c r="Z407" s="157"/>
      <c r="AA407" s="157"/>
      <c r="AB407" s="157"/>
      <c r="AC407" s="157"/>
      <c r="AD407" s="157"/>
      <c r="AE407" s="157"/>
      <c r="AF407" s="157"/>
      <c r="AG407" s="157"/>
      <c r="AH407" s="157"/>
    </row>
    <row r="408" spans="1:34" hidden="1">
      <c r="A408" s="396"/>
      <c r="B408" s="386"/>
      <c r="C408" s="481" t="s">
        <v>273</v>
      </c>
      <c r="D408" s="388"/>
      <c r="E408" s="387"/>
      <c r="F408" s="475" t="s">
        <v>154</v>
      </c>
      <c r="G408" s="482">
        <f>SUM(G403:G407)</f>
        <v>73064.53</v>
      </c>
      <c r="H408" s="384"/>
      <c r="I408" s="387"/>
      <c r="J408" s="387"/>
      <c r="K408" s="387"/>
      <c r="L408" s="384"/>
      <c r="M408" s="387"/>
      <c r="N408" s="384"/>
      <c r="O408" s="387"/>
      <c r="P408" s="384"/>
      <c r="Q408" s="387"/>
      <c r="R408" s="540"/>
      <c r="S408" s="540"/>
      <c r="T408" s="540"/>
      <c r="U408" s="540"/>
    </row>
    <row r="409" spans="1:34" hidden="1">
      <c r="A409" s="396"/>
      <c r="B409" s="386"/>
      <c r="C409" s="481"/>
      <c r="D409" s="388"/>
      <c r="E409" s="387"/>
      <c r="F409" s="475"/>
      <c r="G409" s="482"/>
      <c r="H409" s="384"/>
      <c r="I409" s="387"/>
      <c r="J409" s="387"/>
      <c r="K409" s="387"/>
      <c r="L409" s="384"/>
      <c r="M409" s="387"/>
      <c r="N409" s="384"/>
      <c r="O409" s="387"/>
      <c r="P409" s="384"/>
      <c r="Q409" s="387"/>
      <c r="R409" s="540"/>
      <c r="S409" s="540"/>
      <c r="T409" s="540"/>
      <c r="U409" s="540"/>
    </row>
    <row r="410" spans="1:34" ht="204" hidden="1">
      <c r="A410" s="396"/>
      <c r="B410" s="386">
        <v>13</v>
      </c>
      <c r="C410" s="492" t="s">
        <v>1245</v>
      </c>
      <c r="D410" s="338"/>
      <c r="E410" s="399"/>
      <c r="F410" s="472"/>
      <c r="G410" s="414"/>
      <c r="H410" s="1600" t="s">
        <v>446</v>
      </c>
      <c r="I410" s="1601"/>
      <c r="J410" s="1600" t="s">
        <v>440</v>
      </c>
      <c r="K410" s="1601"/>
      <c r="L410" s="1600" t="s">
        <v>439</v>
      </c>
      <c r="M410" s="1604"/>
      <c r="N410" s="1600" t="s">
        <v>717</v>
      </c>
      <c r="O410" s="1601"/>
      <c r="P410" s="1600" t="s">
        <v>718</v>
      </c>
      <c r="Q410" s="1601"/>
      <c r="R410" s="1602" t="s">
        <v>759</v>
      </c>
      <c r="S410" s="1603"/>
      <c r="T410" s="1600" t="s">
        <v>760</v>
      </c>
      <c r="U410" s="1601"/>
      <c r="V410" s="966"/>
      <c r="W410" s="966"/>
      <c r="X410" s="966"/>
      <c r="Y410" s="966"/>
      <c r="Z410" s="966"/>
      <c r="AA410" s="966"/>
      <c r="AB410" s="966"/>
      <c r="AC410" s="966"/>
      <c r="AD410" s="966"/>
      <c r="AE410" s="966"/>
      <c r="AF410" s="966"/>
      <c r="AG410" s="966"/>
      <c r="AH410" s="966"/>
    </row>
    <row r="411" spans="1:34" hidden="1">
      <c r="A411" s="396"/>
      <c r="B411" s="386"/>
      <c r="C411" s="474" t="s">
        <v>857</v>
      </c>
      <c r="D411" s="338">
        <v>1.5</v>
      </c>
      <c r="E411" s="399" t="s">
        <v>862</v>
      </c>
      <c r="F411" s="472">
        <v>0.3</v>
      </c>
      <c r="G411" s="414"/>
      <c r="H411" s="603" t="s">
        <v>856</v>
      </c>
      <c r="I411" s="604">
        <v>0.24399999999999999</v>
      </c>
      <c r="J411" s="603" t="s">
        <v>856</v>
      </c>
      <c r="K411" s="604">
        <v>0.31</v>
      </c>
      <c r="L411" s="603" t="s">
        <v>856</v>
      </c>
      <c r="M411" s="604">
        <v>0.4</v>
      </c>
      <c r="N411" s="603" t="s">
        <v>856</v>
      </c>
      <c r="O411" s="604">
        <v>0.57999999999999996</v>
      </c>
      <c r="P411" s="603" t="s">
        <v>856</v>
      </c>
      <c r="Q411" s="604">
        <v>0.75</v>
      </c>
      <c r="R411" s="603" t="s">
        <v>867</v>
      </c>
      <c r="S411" s="604">
        <v>0.99</v>
      </c>
      <c r="T411" s="603" t="s">
        <v>867</v>
      </c>
      <c r="U411" s="604">
        <v>1.23</v>
      </c>
      <c r="V411" s="967"/>
      <c r="W411" s="967"/>
      <c r="X411" s="967"/>
      <c r="Y411" s="967"/>
      <c r="Z411" s="967"/>
      <c r="AA411" s="967"/>
      <c r="AB411" s="967"/>
      <c r="AC411" s="967"/>
      <c r="AD411" s="967"/>
      <c r="AE411" s="967"/>
      <c r="AF411" s="967"/>
      <c r="AG411" s="967"/>
      <c r="AH411" s="967"/>
    </row>
    <row r="412" spans="1:34" hidden="1">
      <c r="A412" s="396"/>
      <c r="B412" s="386"/>
      <c r="C412" s="474" t="s">
        <v>858</v>
      </c>
      <c r="D412" s="338">
        <v>1.4</v>
      </c>
      <c r="E412" s="399" t="s">
        <v>859</v>
      </c>
      <c r="F412" s="472">
        <v>0.23</v>
      </c>
      <c r="G412" s="414"/>
      <c r="H412" s="603"/>
      <c r="I412" s="604"/>
      <c r="J412" s="603"/>
      <c r="K412" s="604"/>
      <c r="L412" s="603"/>
      <c r="M412" s="604"/>
      <c r="N412" s="603"/>
      <c r="O412" s="604"/>
      <c r="P412" s="603"/>
      <c r="Q412" s="604"/>
      <c r="R412" s="706"/>
      <c r="S412" s="707"/>
      <c r="T412" s="706"/>
      <c r="U412" s="707"/>
      <c r="V412" s="966"/>
      <c r="W412" s="966"/>
      <c r="X412" s="966"/>
      <c r="Y412" s="966"/>
      <c r="Z412" s="966"/>
      <c r="AA412" s="966"/>
      <c r="AB412" s="966"/>
      <c r="AC412" s="966"/>
      <c r="AD412" s="966"/>
      <c r="AE412" s="966"/>
      <c r="AF412" s="966"/>
      <c r="AG412" s="966"/>
      <c r="AH412" s="966"/>
    </row>
    <row r="413" spans="1:34" hidden="1">
      <c r="A413" s="396"/>
      <c r="B413" s="386"/>
      <c r="C413" s="474" t="s">
        <v>860</v>
      </c>
      <c r="D413" s="338">
        <v>0.1</v>
      </c>
      <c r="E413" s="399" t="s">
        <v>861</v>
      </c>
      <c r="F413" s="472">
        <v>0.23</v>
      </c>
      <c r="G413" s="414"/>
      <c r="H413" s="603"/>
      <c r="I413" s="604"/>
      <c r="J413" s="603"/>
      <c r="K413" s="604"/>
      <c r="L413" s="603"/>
      <c r="M413" s="604"/>
      <c r="N413" s="603"/>
      <c r="O413" s="604"/>
      <c r="P413" s="603"/>
      <c r="Q413" s="604"/>
      <c r="R413" s="706"/>
      <c r="S413" s="707"/>
      <c r="T413" s="706"/>
      <c r="U413" s="707"/>
      <c r="V413" s="966"/>
      <c r="W413" s="966"/>
      <c r="X413" s="966"/>
      <c r="Y413" s="966"/>
      <c r="Z413" s="966"/>
      <c r="AA413" s="966"/>
      <c r="AB413" s="966"/>
      <c r="AC413" s="966"/>
      <c r="AD413" s="966"/>
      <c r="AE413" s="966"/>
      <c r="AF413" s="966"/>
      <c r="AG413" s="966"/>
      <c r="AH413" s="966"/>
    </row>
    <row r="414" spans="1:34" hidden="1">
      <c r="A414" s="396"/>
      <c r="B414" s="386"/>
      <c r="C414" s="474" t="s">
        <v>865</v>
      </c>
      <c r="D414" s="338">
        <v>0.9</v>
      </c>
      <c r="E414" s="399" t="s">
        <v>866</v>
      </c>
      <c r="F414" s="472">
        <v>0.35</v>
      </c>
      <c r="G414" s="414"/>
      <c r="H414" s="603"/>
      <c r="I414" s="604"/>
      <c r="J414" s="603"/>
      <c r="K414" s="604"/>
      <c r="L414" s="603"/>
      <c r="M414" s="604"/>
      <c r="N414" s="603"/>
      <c r="O414" s="604"/>
      <c r="P414" s="603"/>
      <c r="Q414" s="604"/>
      <c r="R414" s="706"/>
      <c r="S414" s="707"/>
      <c r="T414" s="706"/>
      <c r="U414" s="707"/>
      <c r="V414" s="966"/>
      <c r="W414" s="966"/>
      <c r="X414" s="966"/>
      <c r="Y414" s="966"/>
      <c r="Z414" s="966"/>
      <c r="AA414" s="966"/>
      <c r="AB414" s="966"/>
      <c r="AC414" s="966"/>
      <c r="AD414" s="966"/>
      <c r="AE414" s="966"/>
      <c r="AF414" s="966"/>
      <c r="AG414" s="966"/>
      <c r="AH414" s="966"/>
    </row>
    <row r="415" spans="1:34" hidden="1">
      <c r="A415" s="396"/>
      <c r="B415" s="386"/>
      <c r="C415" s="474" t="s">
        <v>863</v>
      </c>
      <c r="D415" s="338">
        <v>0.56000000000000005</v>
      </c>
      <c r="E415" s="399"/>
      <c r="F415" s="472"/>
      <c r="G415" s="414"/>
      <c r="H415" s="603"/>
      <c r="I415" s="604"/>
      <c r="J415" s="603"/>
      <c r="K415" s="604"/>
      <c r="L415" s="603"/>
      <c r="M415" s="604"/>
      <c r="N415" s="603"/>
      <c r="O415" s="604"/>
      <c r="P415" s="603"/>
      <c r="Q415" s="604"/>
      <c r="R415" s="706"/>
      <c r="S415" s="707"/>
      <c r="T415" s="706"/>
      <c r="U415" s="707"/>
      <c r="V415" s="966"/>
      <c r="W415" s="966"/>
      <c r="X415" s="966"/>
      <c r="Y415" s="966"/>
      <c r="Z415" s="966"/>
      <c r="AA415" s="966"/>
      <c r="AB415" s="966"/>
      <c r="AC415" s="966"/>
      <c r="AD415" s="966"/>
      <c r="AE415" s="966"/>
      <c r="AF415" s="966"/>
      <c r="AG415" s="966"/>
      <c r="AH415" s="966"/>
    </row>
    <row r="416" spans="1:34" ht="25.5" hidden="1">
      <c r="A416" s="396"/>
      <c r="B416" s="386"/>
      <c r="C416" s="474" t="str">
        <f>CONCATENATE("CC in CM( 1:4:8) PI/4x(0.9+0.46+0.3)x0.15=",E416)</f>
        <v>CC in CM( 1:4:8) PI/4x(0.9+0.46+0.3)x0.15=1.47262155637022</v>
      </c>
      <c r="D416" s="338" t="s">
        <v>109</v>
      </c>
      <c r="E416" s="489">
        <f t="shared" ref="E416:E421" si="49">S416</f>
        <v>1.4726215563702156</v>
      </c>
      <c r="F416" s="472">
        <f>F396</f>
        <v>5383.2900000000009</v>
      </c>
      <c r="G416" s="477">
        <f t="shared" ref="G416:G422" si="50">+ROUND(E416*F416,2)</f>
        <v>7927.55</v>
      </c>
      <c r="H416" s="477"/>
      <c r="I416" s="477">
        <f>(PI()/4)*(($D$330+(2*$F$333))+0.3)^2*$F$330</f>
        <v>1.4726215563702156</v>
      </c>
      <c r="J416" s="477"/>
      <c r="K416" s="477">
        <f>(PI()/4)*(($D$330+(2*$F$333))+0.3)^2*$F$330</f>
        <v>1.4726215563702156</v>
      </c>
      <c r="L416" s="477"/>
      <c r="M416" s="477">
        <f>(PI()/4)*(($D$330+(2*$F$333))+0.3)^2*$F$330</f>
        <v>1.4726215563702156</v>
      </c>
      <c r="N416" s="477"/>
      <c r="O416" s="477">
        <f>(PI()/4)*(($D$330+(2*$F$333))+0.3)^2*$F$330</f>
        <v>1.4726215563702156</v>
      </c>
      <c r="P416" s="477"/>
      <c r="Q416" s="477">
        <f>(PI()/4)*(($D$330+(2*$F$333))+0.3)^2*$F$330</f>
        <v>1.4726215563702156</v>
      </c>
      <c r="R416" s="477"/>
      <c r="S416" s="477">
        <f>(PI()/4)*(($D$330+(2*$F$333))+0.3)^2*$F$330</f>
        <v>1.4726215563702156</v>
      </c>
      <c r="T416" s="477"/>
      <c r="U416" s="477">
        <f>(PI()/4)*(($D$330+(2*$F$333))+0.3)^2*$F$330</f>
        <v>1.4726215563702156</v>
      </c>
      <c r="V416" s="447"/>
      <c r="W416" s="447"/>
      <c r="X416" s="447"/>
      <c r="Y416" s="447"/>
      <c r="Z416" s="447"/>
      <c r="AA416" s="447"/>
      <c r="AB416" s="447"/>
      <c r="AC416" s="447"/>
      <c r="AD416" s="447"/>
      <c r="AE416" s="447"/>
      <c r="AF416" s="447"/>
      <c r="AG416" s="447"/>
      <c r="AH416" s="447"/>
    </row>
    <row r="417" spans="1:34" ht="51" hidden="1">
      <c r="A417" s="396"/>
      <c r="B417" s="386"/>
      <c r="C417" s="474" t="str">
        <f>CONCATENATE("2nd Class Brick Masonory in cm (1: 6) Prop using 2nd class bricks for Uniform Section( PIx1.13x0.23x0.4)-(PI/4*0.23*0.23*.23*2)=",E417)</f>
        <v>2nd Class Brick Masonory in cm (1: 6) Prop using 2nd class bricks for Uniform Section( PIx1.13x0.23x0.4)-(PI/4*0.23*0.23*.23*2)=1.43376709056579</v>
      </c>
      <c r="D417" s="338" t="s">
        <v>109</v>
      </c>
      <c r="E417" s="489">
        <f t="shared" si="49"/>
        <v>1.4337670905657898</v>
      </c>
      <c r="F417" s="472">
        <f>F397</f>
        <v>8504.4699999999993</v>
      </c>
      <c r="G417" s="477">
        <f t="shared" si="50"/>
        <v>12193.43</v>
      </c>
      <c r="H417" s="479">
        <f>ROUND(PI()/4*I411*I411*(($D$333/I411)*$F$333+(((I411-$D$333)/I411)*$F$332))*2,3)</f>
        <v>6.3E-2</v>
      </c>
      <c r="I417" s="479">
        <f>(PI()*($D$330+$F$333)*$F$333*$D$333)+(PI()*($D$330+$F$332)*$F$332*$D$332)-H417</f>
        <v>1.8927670905657898</v>
      </c>
      <c r="J417" s="479">
        <f>ROUND(PI()/4*K411*K411*(($D$333/K411)*$F$333+(((K411-$D$333)/K411)*$F$332))*2,3)</f>
        <v>8.6999999999999994E-2</v>
      </c>
      <c r="K417" s="479">
        <f>(PI()*($D$330+$F$333)*$F$333*$D$333)+(PI()*($D$330+$F$332)*$F$332*$D$332)-J417</f>
        <v>1.8687670905657898</v>
      </c>
      <c r="L417" s="479">
        <f>ROUND(PI()/4*M411*M411*(($D$333/M411)*$F$333+(((M411-$D$333)/M411)*$F$332))*2,3)</f>
        <v>0.126</v>
      </c>
      <c r="M417" s="479">
        <f>(PI()*($D$330+$F$333)*$F$333*$D$333)+(PI()*($D$330+$F$332)*$F$332*$D$332)-L417</f>
        <v>1.8297670905657899</v>
      </c>
      <c r="N417" s="479">
        <f>ROUND(PI()/4*O411*O411*(($D$333/O411)*$F$333+(((O411-$D$333)/O411)*$F$332))*2,3)</f>
        <v>0.22</v>
      </c>
      <c r="O417" s="479">
        <f>(PI()*($D$330+$F$333)*$F$333*$D$333)+(PI()*($D$330+$F$332)*$F$332*$D$332)-N417</f>
        <v>1.7357670905657898</v>
      </c>
      <c r="P417" s="479">
        <f>ROUND(PI()/4*Q411*Q411*(($D$333/Q411)*$F$333+(((Q411-$D$333)/Q411)*$F$332))*2,3)</f>
        <v>0.33</v>
      </c>
      <c r="Q417" s="479">
        <f>(PI()*($D$330+$F$333)*$F$333*$D$333)+(PI()*($D$330+$F$332)*$F$332*$D$332)-P417</f>
        <v>1.6257670905657897</v>
      </c>
      <c r="R417" s="479">
        <f>ROUND(PI()/4*S411*S411*(($D$333/S411)*$F$333+(((S411-$D$333)/S411)*$F$332))*2,3)</f>
        <v>0.52200000000000002</v>
      </c>
      <c r="S417" s="479">
        <f>(PI()*($D$330+$F$333)*$F$333*$D$333)+(PI()*($D$330+$F$332)*$F$332*$D$332)-R417</f>
        <v>1.4337670905657898</v>
      </c>
      <c r="T417" s="479">
        <f>ROUND(PI()/4*U411*U411*(($D$333/U411)*$F$333+(((U411-$D$333)/U411)*$F$332))*2,3)</f>
        <v>0.755</v>
      </c>
      <c r="U417" s="479">
        <f>(PI()*($D$330+$F$333)*$F$333*$D$333)+(PI()*($D$330+$F$332)*$F$332*$D$332)-T417</f>
        <v>1.2007670905657899</v>
      </c>
      <c r="V417" s="465"/>
      <c r="W417" s="465"/>
      <c r="X417" s="465"/>
      <c r="Y417" s="465"/>
      <c r="Z417" s="465"/>
      <c r="AA417" s="465"/>
      <c r="AB417" s="465"/>
      <c r="AC417" s="465"/>
      <c r="AD417" s="465"/>
      <c r="AE417" s="465"/>
      <c r="AF417" s="465"/>
      <c r="AG417" s="465"/>
      <c r="AH417" s="465"/>
    </row>
    <row r="418" spans="1:34" ht="51" hidden="1">
      <c r="A418" s="396"/>
      <c r="B418" s="386"/>
      <c r="C418" s="474" t="str">
        <f>CONCATENATE("2nd Class Brick Masonory work  in cm (1: 6) )Prop using 2nd class bricks for Carbelling Portion Pix(1.13+0.78)/2x0.23x(0.6-.25)=",E418)</f>
        <v>2nd Class Brick Masonory work  in cm (1: 6) )Prop using 2nd class bricks for Carbelling Portion Pix(1.13+0.78)/2x0.23x(0.6-.25)=1.11528109998764</v>
      </c>
      <c r="D418" s="338" t="s">
        <v>109</v>
      </c>
      <c r="E418" s="489">
        <f t="shared" si="49"/>
        <v>1.1152810999876444</v>
      </c>
      <c r="F418" s="472">
        <f>F417</f>
        <v>8504.4699999999993</v>
      </c>
      <c r="G418" s="477">
        <f t="shared" si="50"/>
        <v>9484.8700000000008</v>
      </c>
      <c r="H418" s="389"/>
      <c r="I418" s="389">
        <f>(PI()*(($D$330+$F$331+$D$334+$F$331)/2)*$F$331)*($D$331-0.25)</f>
        <v>1.0469985836618703</v>
      </c>
      <c r="J418" s="389"/>
      <c r="K418" s="389">
        <f>(PI()*(($D$330+$F$331+$D$334+$F$331)/2)*$F$331)*($D$331-0.25)</f>
        <v>1.0469985836618703</v>
      </c>
      <c r="L418" s="493"/>
      <c r="M418" s="389">
        <f>(PI()*(($D$330+$F$331+$D$334+$F$331)/2)*$F$331)*($D$331-0.25)</f>
        <v>1.0469985836618703</v>
      </c>
      <c r="N418" s="389"/>
      <c r="O418" s="389">
        <f>(PI()*(($D$330+$F$331+$D$334+$F$331)/2)*$F$331)*($D$331-0.25)</f>
        <v>1.0469985836618703</v>
      </c>
      <c r="P418" s="389"/>
      <c r="Q418" s="389">
        <f>(PI()*(($D$330+$F$331+$D$334+$F$331)/2)*$F$331)*($D$331-0.25)</f>
        <v>1.0469985836618703</v>
      </c>
      <c r="R418" s="493"/>
      <c r="S418" s="389">
        <f>(PI()*(($D$330+$F$331+$D$334+$F$331)/2)*$F$331)*($D$331-0.175)</f>
        <v>1.1152810999876444</v>
      </c>
      <c r="T418" s="493"/>
      <c r="U418" s="389">
        <f>(PI()*(($D$330+$F$331+$D$334+$F$331)/2)*$F$331)*($D$331-0.25)</f>
        <v>1.0469985836618703</v>
      </c>
      <c r="V418" s="165"/>
      <c r="W418" s="165"/>
      <c r="X418" s="165"/>
      <c r="Y418" s="165"/>
      <c r="Z418" s="165"/>
      <c r="AA418" s="165"/>
      <c r="AB418" s="165"/>
      <c r="AC418" s="165"/>
      <c r="AD418" s="165"/>
      <c r="AE418" s="165"/>
      <c r="AF418" s="165"/>
      <c r="AG418" s="165"/>
      <c r="AH418" s="165"/>
    </row>
    <row r="419" spans="1:34" ht="51" hidden="1">
      <c r="A419" s="396"/>
      <c r="B419" s="386"/>
      <c r="C419" s="970" t="str">
        <f>CONCATENATE("External Plastering in CM(1:4) of 12 mm thick vertical portion Pix(.9+.23*2)x0.40 and sloped portion Pix(1.36+1.01)/2x(0.6-.25)  Dedcut Pipe Portion 2xPI()/4x0.23x0.23=",E419)</f>
        <v>External Plastering in CM(1:4) of 12 mm thick vertical portion Pix(.9+.23*2)x0.40 and sloped portion Pix(1.36+1.01)/2x(0.6-.25)  Dedcut Pipe Portion 2xPI()/4x0.23x0.23=11.0302976051762</v>
      </c>
      <c r="D419" s="338" t="s">
        <v>224</v>
      </c>
      <c r="E419" s="489">
        <f t="shared" si="49"/>
        <v>11.030297605176163</v>
      </c>
      <c r="F419" s="472">
        <f>F399</f>
        <v>170.45499999999998</v>
      </c>
      <c r="G419" s="477">
        <f t="shared" si="50"/>
        <v>1880.17</v>
      </c>
      <c r="H419" s="389">
        <f>ROUND(PI()/4*I411*I411*2,3)</f>
        <v>9.4E-2</v>
      </c>
      <c r="I419" s="389">
        <f>(PI()*($D$330+2*($F$333))*($D$333))+(PI()*($D$330+(2*$F$333))*$D$333)+(PI()*(($D$330+2*($F$331)+$D$334+2*($F$331))/2)*($D$331-0.25))-H419</f>
        <v>17.729825920141693</v>
      </c>
      <c r="J419" s="389">
        <f>ROUND(PI()/4*K411*K411*2,3)</f>
        <v>0.151</v>
      </c>
      <c r="K419" s="389">
        <f>(PI()*($D$330+2*($F$333))*($D$333))+(PI()*($D$330+(2*$F$333))*$D$333)+(PI()*(($D$330+2*($F$331)+$D$334+2*($F$331))/2)*($D$331-0.25))-J419</f>
        <v>17.672825920141694</v>
      </c>
      <c r="L419" s="389">
        <f>ROUND(PI()/4*M411*M411*2,3)</f>
        <v>0.251</v>
      </c>
      <c r="M419" s="389">
        <f>(PI()*($D$330+2*($F$333))*($D$333))+(PI()*($D$330+(2*$F$333))*$D$333)+(PI()*(($D$330+2*($F$331)+$D$334+2*($F$331))/2)*($D$331-0.25))-L419</f>
        <v>17.572825920141693</v>
      </c>
      <c r="N419" s="389">
        <f>ROUND(PI()/4*O411*O411*2,3)</f>
        <v>0.52800000000000002</v>
      </c>
      <c r="O419" s="389">
        <f>(PI()*($D$330+2*($F$333))*($D$333))+(PI()*($D$330+(2*$F$333))*$D$333)+(PI()*(($D$330+2*($F$331)+$D$334+2*($F$331))/2)*($D$331-0.25))-N419</f>
        <v>17.295825920141695</v>
      </c>
      <c r="P419" s="389">
        <f>ROUND(PI()/4*Q411*Q411*2,3)</f>
        <v>0.88400000000000001</v>
      </c>
      <c r="Q419" s="389">
        <f>(PI()*($D$330+2*($F$333))*($D$333))+(PI()*($D$330+(2*$F$333))*$D$333)+(PI()*(($D$330+2*($F$331)+$D$334+2*($F$331))/2)*($D$331-0.25))-P419</f>
        <v>16.939825920141693</v>
      </c>
      <c r="R419" s="389">
        <f>ROUND(PI()/4*S411*S411*2,3)</f>
        <v>1.54</v>
      </c>
      <c r="S419" s="389">
        <f>(PI()*($D$330+2*($F$333))*($D$333))+(PI()*($D$330+(2*$F$332))*$D$332)+(PI()*(($D$330+2*($F$331)+$D$334+2*($F$331))/2)*($D$331-0.175))-R419</f>
        <v>11.030297605176163</v>
      </c>
      <c r="T419" s="389">
        <f>ROUND(PI()/4*U411*U411*2,3)</f>
        <v>2.3759999999999999</v>
      </c>
      <c r="U419" s="389">
        <f>(PI()*($D$330+2*($F$333))*($D$333))+(PI()*($D$330+(2*$F$333))*$D$333)+(PI()*(($D$330+2*($F$331)+$D$334+2*($F$331))/2)*($D$331-0.25))-T419</f>
        <v>15.447825920141694</v>
      </c>
      <c r="V419" s="165"/>
      <c r="W419" s="165"/>
      <c r="X419" s="165"/>
      <c r="Y419" s="165"/>
      <c r="Z419" s="165"/>
      <c r="AA419" s="165"/>
      <c r="AB419" s="165"/>
      <c r="AC419" s="165"/>
      <c r="AD419" s="165"/>
      <c r="AE419" s="165"/>
      <c r="AF419" s="165"/>
      <c r="AG419" s="165"/>
      <c r="AH419" s="165"/>
    </row>
    <row r="420" spans="1:34" ht="51" hidden="1">
      <c r="A420" s="396"/>
      <c r="B420" s="386"/>
      <c r="C420" s="474" t="str">
        <f>CONCATENATE("Internal Plastering in CM(1:4) of 20 mm thick uniform portion PIx0.90x0.4 and Sloped Portion Pix(0.90+0.56)/2x(.6-.25)  Dedcut Pipe Portion 2xPI()/4x0.25x0.25=",E420)</f>
        <v>Internal Plastering in CM(1:4) of 20 mm thick uniform portion PIx0.90x0.4 and Sloped Portion Pix(0.90+0.56)/2x(.6-.25)  Dedcut Pipe Portion 2xPI()/4x0.25x0.25=4.01129351105161</v>
      </c>
      <c r="D420" s="338" t="s">
        <v>224</v>
      </c>
      <c r="E420" s="399">
        <f t="shared" si="49"/>
        <v>4.011293511051611</v>
      </c>
      <c r="F420" s="472">
        <f>F400</f>
        <v>259.48599999999999</v>
      </c>
      <c r="G420" s="477">
        <f t="shared" si="50"/>
        <v>1040.8699999999999</v>
      </c>
      <c r="H420" s="389">
        <f>ROUND(PI()*$D$330*I411,3)</f>
        <v>1.1499999999999999</v>
      </c>
      <c r="I420" s="490">
        <f>((PI()*$D$330*$D$333)+(PI()*($D$330)*$D$332)+(PI()*($D$330+$D$334)/2*($D$331-0.175)))-H420</f>
        <v>7.5262935110516107</v>
      </c>
      <c r="J420" s="389">
        <f>ROUND(PI()*$D$330*K411,3)</f>
        <v>1.4610000000000001</v>
      </c>
      <c r="K420" s="490">
        <f>((PI()*$D$330*$D$333)+(PI()*($D$330)*$D$332)+(PI()*($D$330+$D$334)/2*($D$331-0.175)))-J420</f>
        <v>7.2152935110516108</v>
      </c>
      <c r="L420" s="389">
        <f>ROUND(PI()*$D$330*M411,3)</f>
        <v>1.885</v>
      </c>
      <c r="M420" s="490">
        <f>((PI()*$D$330*$D$333)+(PI()*($D$330)*$D$332)+(PI()*($D$330+$D$334)/2*($D$331-0.175)))-L420</f>
        <v>6.7912935110516113</v>
      </c>
      <c r="N420" s="389">
        <f>ROUND(PI()*$D$330*O411,3)</f>
        <v>2.7330000000000001</v>
      </c>
      <c r="O420" s="490">
        <f>((PI()*$D$330*$D$333)+(PI()*($D$330)*$D$332)+(PI()*($D$330+$D$334)/2*($D$331-0.175)))-N420</f>
        <v>5.9432935110516105</v>
      </c>
      <c r="P420" s="389">
        <f>ROUND(PI()*$D$330*Q411,3)</f>
        <v>3.5339999999999998</v>
      </c>
      <c r="Q420" s="490">
        <f>((PI()*$D$330*$D$333)+(PI()*($D$330)*$D$332)+(PI()*($D$330+$D$334)/2*($D$331-0.175)))-P420</f>
        <v>5.1422935110516113</v>
      </c>
      <c r="R420" s="389">
        <f>ROUND(PI()*$D$330*S411,3)</f>
        <v>4.665</v>
      </c>
      <c r="S420" s="490">
        <f>((PI()*$D$330*$D$333)+(PI()*($D$330)*$D$332)+(PI()*($D$330+$D$334)/2*($D$331-0.175)))-R420</f>
        <v>4.011293511051611</v>
      </c>
      <c r="T420" s="389">
        <f>ROUND(PI()*$D$330*U411,3)</f>
        <v>5.7960000000000003</v>
      </c>
      <c r="U420" s="490">
        <f>((PI()*$D$330*$D$333)+(PI()*($D$330)*$D$332)+(PI()*($D$330+$D$334)/2*($D$331-0.175)))-T420</f>
        <v>2.8802935110516108</v>
      </c>
      <c r="V420" s="467"/>
      <c r="W420" s="467"/>
      <c r="X420" s="467"/>
      <c r="Y420" s="467"/>
      <c r="Z420" s="467"/>
      <c r="AA420" s="467"/>
      <c r="AB420" s="467"/>
      <c r="AC420" s="467"/>
      <c r="AD420" s="467"/>
      <c r="AE420" s="467"/>
      <c r="AF420" s="467"/>
      <c r="AG420" s="467"/>
      <c r="AH420" s="467"/>
    </row>
    <row r="421" spans="1:34" ht="51" hidden="1">
      <c r="A421" s="396"/>
      <c r="B421" s="386"/>
      <c r="C421" s="473" t="str">
        <f>CONCATENATE("CC Channeling with (1:2.5:5) Prop  PIx0.9x0.9x0.30/4 = over Manhole alround for Cover PIx0.81x0.15x0.10= deduct Channel 0.90x0.25x0.25=",E421)</f>
        <v>CC Channeling with (1:2.5:5) Prop  PIx0.9x0.9x0.30/4 = over Manhole alround for Cover PIx0.81x0.15x0.10= deduct Channel 0.90x0.25x0.25=0.660911239609606</v>
      </c>
      <c r="D421" s="338" t="s">
        <v>109</v>
      </c>
      <c r="E421" s="489">
        <f t="shared" si="49"/>
        <v>0.66091123960960618</v>
      </c>
      <c r="F421" s="472">
        <f>F401</f>
        <v>6018.18</v>
      </c>
      <c r="G421" s="477">
        <f t="shared" si="50"/>
        <v>3977.48</v>
      </c>
      <c r="H421" s="389">
        <f>ROUND($D$330*(PI()/4)*I411*I411,3)</f>
        <v>7.0000000000000007E-2</v>
      </c>
      <c r="I421" s="389">
        <f>(((PI()*$D$330^2/4)*I411)+(PI()*($D$330+$F$331)*$F$333*0.075)+(PI()*(0.71+0.08)*0.08*0.175))-H421</f>
        <v>0.53859718283504865</v>
      </c>
      <c r="J421" s="389">
        <f>ROUND($D$330*(PI()/4)*K411*K411,3)</f>
        <v>0.113</v>
      </c>
      <c r="K421" s="389">
        <f>(((PI()*$D$330^2/4)*K411)+(PI()*($D$330+$F$331)*$F$333*0.075)+(PI()*(0.71+0.08)*0.08*0.175))-J421</f>
        <v>0.61222881009956975</v>
      </c>
      <c r="L421" s="389">
        <f>ROUND($D$330*(PI()/4)*M411*M411,3)</f>
        <v>0.188</v>
      </c>
      <c r="M421" s="389">
        <f>(((PI()*$D$330^2/4)*M411)+(PI()*($D$330+$F$331)*$F$333*0.075)+(PI()*(0.71+0.08)*0.08*0.175))-L421</f>
        <v>0.69627193818755306</v>
      </c>
      <c r="N421" s="389">
        <f>ROUND($D$330*(PI()/4)*O411*O411,3)</f>
        <v>0.39600000000000002</v>
      </c>
      <c r="O421" s="389">
        <f>(((PI()*$D$330^2/4)*O411)+(PI()*($D$330+$F$331)*$F$333*0.075)+(PI()*(0.71+0.08)*0.08*0.175))-N421</f>
        <v>0.80635819436351952</v>
      </c>
      <c r="P421" s="389">
        <f>ROUND($D$330*(PI()/4)*Q411*Q411,3)</f>
        <v>0.66300000000000003</v>
      </c>
      <c r="Q421" s="389">
        <f>(((PI()*$D$330^2/4)*Q411)+(PI()*($D$330+$F$331)*$F$333*0.075)+(PI()*(0.71+0.08)*0.08*0.175))-P421</f>
        <v>0.83977299186304344</v>
      </c>
      <c r="R421" s="389">
        <f>ROUND($D$330*(PI()/4)*S411*S411,3)</f>
        <v>1.155</v>
      </c>
      <c r="S421" s="389">
        <f>(((PI()*$D$330^2/4)*S411)+(PI()*($D$334+$F$331)*$F$331*0.075)+(PI()*(0.71+2*0.075+0.08)*0.08*0.1))-R421</f>
        <v>0.66091123960960618</v>
      </c>
      <c r="T421" s="389">
        <f>ROUND($D$330*(PI()/4)*U411*U411,3)</f>
        <v>1.782</v>
      </c>
      <c r="U421" s="389">
        <f>(((PI()*$D$330^2/4)*U411)+(PI()*($D$330+$F$331)*$F$333*0.075)+(PI()*(0.71+0.08)*0.08*0.175))-T421</f>
        <v>0.56900300833228767</v>
      </c>
      <c r="V421" s="165"/>
      <c r="W421" s="165"/>
      <c r="X421" s="165"/>
      <c r="Y421" s="165"/>
      <c r="Z421" s="165"/>
      <c r="AA421" s="165"/>
      <c r="AB421" s="165"/>
      <c r="AC421" s="165"/>
      <c r="AD421" s="165"/>
      <c r="AE421" s="165"/>
      <c r="AF421" s="165"/>
      <c r="AG421" s="165"/>
      <c r="AH421" s="165"/>
    </row>
    <row r="422" spans="1:34" hidden="1">
      <c r="A422" s="396"/>
      <c r="B422" s="386"/>
      <c r="C422" s="473" t="s">
        <v>225</v>
      </c>
      <c r="D422" s="338" t="s">
        <v>226</v>
      </c>
      <c r="E422" s="399">
        <v>3</v>
      </c>
      <c r="F422" s="472">
        <f>F402</f>
        <v>81</v>
      </c>
      <c r="G422" s="477">
        <f t="shared" si="50"/>
        <v>243</v>
      </c>
      <c r="H422" s="477"/>
      <c r="I422" s="389"/>
      <c r="J422" s="389"/>
      <c r="K422" s="389"/>
      <c r="L422" s="389"/>
      <c r="M422" s="389"/>
      <c r="N422" s="389"/>
      <c r="O422" s="389"/>
      <c r="P422" s="389"/>
      <c r="Q422" s="389"/>
      <c r="R422" s="540"/>
      <c r="S422" s="540"/>
      <c r="T422" s="540"/>
      <c r="U422" s="540"/>
    </row>
    <row r="423" spans="1:34" hidden="1">
      <c r="A423" s="396"/>
      <c r="B423" s="386"/>
      <c r="C423" s="480" t="s">
        <v>106</v>
      </c>
      <c r="D423" s="338" t="s">
        <v>226</v>
      </c>
      <c r="E423" s="399"/>
      <c r="F423" s="472" t="s">
        <v>154</v>
      </c>
      <c r="G423" s="414">
        <f>SUM(G416:G422)</f>
        <v>36747.369999999995</v>
      </c>
      <c r="H423" s="414"/>
      <c r="I423" s="389"/>
      <c r="J423" s="389"/>
      <c r="K423" s="389"/>
      <c r="L423" s="389"/>
      <c r="M423" s="389"/>
      <c r="N423" s="389"/>
      <c r="O423" s="389"/>
      <c r="P423" s="389"/>
      <c r="Q423" s="389"/>
      <c r="R423" s="540"/>
      <c r="S423" s="540"/>
      <c r="T423" s="540"/>
      <c r="U423" s="540"/>
    </row>
    <row r="424" spans="1:34" hidden="1">
      <c r="A424" s="396"/>
      <c r="B424" s="386"/>
      <c r="C424" s="480"/>
      <c r="D424" s="397"/>
      <c r="E424" s="399"/>
      <c r="F424" s="472"/>
      <c r="G424" s="414"/>
      <c r="H424" s="475"/>
      <c r="I424" s="389"/>
      <c r="J424" s="389"/>
      <c r="K424" s="389"/>
      <c r="L424" s="389"/>
      <c r="M424" s="389"/>
      <c r="N424" s="389"/>
      <c r="O424" s="389"/>
      <c r="P424" s="389"/>
      <c r="Q424" s="389"/>
      <c r="R424" s="657"/>
      <c r="S424" s="657"/>
      <c r="T424" s="657"/>
      <c r="U424" s="657"/>
      <c r="V424" s="197"/>
      <c r="W424" s="197"/>
      <c r="X424" s="197"/>
      <c r="Y424" s="197"/>
      <c r="Z424" s="197"/>
      <c r="AA424" s="197"/>
      <c r="AB424" s="197"/>
      <c r="AC424" s="197"/>
      <c r="AD424" s="197"/>
      <c r="AE424" s="197"/>
      <c r="AF424" s="197"/>
      <c r="AG424" s="197"/>
      <c r="AH424" s="197"/>
    </row>
    <row r="425" spans="1:34" hidden="1">
      <c r="A425" s="396"/>
      <c r="B425" s="386"/>
      <c r="C425" s="481" t="s">
        <v>319</v>
      </c>
      <c r="D425" s="388"/>
      <c r="E425" s="387"/>
      <c r="F425" s="475"/>
      <c r="G425" s="482"/>
      <c r="H425" s="475"/>
      <c r="I425" s="384"/>
      <c r="J425" s="384"/>
      <c r="K425" s="384"/>
      <c r="L425" s="384"/>
      <c r="M425" s="384"/>
      <c r="N425" s="384"/>
      <c r="O425" s="384"/>
      <c r="P425" s="384"/>
      <c r="Q425" s="384"/>
      <c r="R425" s="657"/>
      <c r="S425" s="657"/>
      <c r="T425" s="657"/>
      <c r="U425" s="657"/>
      <c r="V425" s="197"/>
      <c r="W425" s="197"/>
      <c r="X425" s="197"/>
      <c r="Y425" s="197"/>
      <c r="Z425" s="197"/>
      <c r="AA425" s="197"/>
      <c r="AB425" s="197"/>
      <c r="AC425" s="197"/>
      <c r="AD425" s="197"/>
      <c r="AE425" s="197"/>
      <c r="AF425" s="197"/>
      <c r="AG425" s="197"/>
      <c r="AH425" s="197"/>
    </row>
    <row r="426" spans="1:34" hidden="1">
      <c r="A426" s="396"/>
      <c r="B426" s="386"/>
      <c r="C426" s="481" t="s">
        <v>320</v>
      </c>
      <c r="D426" s="388" t="s">
        <v>109</v>
      </c>
      <c r="E426" s="483">
        <f>ROUND(E416*0.9+E421*0.9,2)</f>
        <v>1.92</v>
      </c>
      <c r="F426" s="475">
        <f>Lead!T295</f>
        <v>0</v>
      </c>
      <c r="G426" s="475">
        <v>0</v>
      </c>
      <c r="H426" s="384"/>
      <c r="I426" s="483">
        <f>ROUND(I416*0.9+I421*0.9,2)</f>
        <v>1.81</v>
      </c>
      <c r="J426" s="483"/>
      <c r="K426" s="483">
        <f>ROUND(K416*0.9+K421*0.9,2)</f>
        <v>1.88</v>
      </c>
      <c r="L426" s="384"/>
      <c r="M426" s="483">
        <f>ROUND(M416*0.9+M421*0.9,2)</f>
        <v>1.95</v>
      </c>
      <c r="N426" s="384"/>
      <c r="O426" s="483"/>
      <c r="P426" s="384"/>
      <c r="Q426" s="483"/>
      <c r="R426" s="657"/>
      <c r="S426" s="657"/>
      <c r="T426" s="657"/>
      <c r="U426" s="657"/>
      <c r="V426" s="197"/>
      <c r="W426" s="197"/>
      <c r="X426" s="197"/>
      <c r="Y426" s="197"/>
      <c r="Z426" s="197"/>
      <c r="AA426" s="197"/>
      <c r="AB426" s="197"/>
      <c r="AC426" s="197"/>
      <c r="AD426" s="197"/>
      <c r="AE426" s="197"/>
      <c r="AF426" s="197"/>
      <c r="AG426" s="197"/>
      <c r="AH426" s="197"/>
    </row>
    <row r="427" spans="1:34" hidden="1">
      <c r="A427" s="396"/>
      <c r="B427" s="386"/>
      <c r="C427" s="481" t="s">
        <v>321</v>
      </c>
      <c r="D427" s="388" t="s">
        <v>109</v>
      </c>
      <c r="E427" s="483">
        <f>ROUND((E417+E418)*0.2+(E419*0.015+E420*0.021)+(E416+E421)*0.45,2)</f>
        <v>1.72</v>
      </c>
      <c r="F427" s="475">
        <f>Lead!T288</f>
        <v>0</v>
      </c>
      <c r="G427" s="475">
        <v>0</v>
      </c>
      <c r="H427" s="384"/>
      <c r="I427" s="483">
        <f>ROUND((I417+I418)*0.2+(I419*0.015+I420*0.021)+(I416+I421)*0.45,2)</f>
        <v>1.92</v>
      </c>
      <c r="J427" s="483"/>
      <c r="K427" s="483">
        <f>ROUND((K417+K418)*0.2+(K419*0.015+K420*0.021)+(K416+K421)*0.45,2)</f>
        <v>1.94</v>
      </c>
      <c r="L427" s="384"/>
      <c r="M427" s="483">
        <f>ROUND((M417+M418)*0.2+(M419*0.015+M420*0.021)+(M416+M421)*0.45,2)</f>
        <v>1.96</v>
      </c>
      <c r="N427" s="384"/>
      <c r="O427" s="483"/>
      <c r="P427" s="384"/>
      <c r="Q427" s="483"/>
      <c r="R427" s="247"/>
      <c r="S427" s="247"/>
      <c r="T427" s="247"/>
      <c r="U427" s="247"/>
      <c r="V427" s="157"/>
      <c r="W427" s="157"/>
      <c r="X427" s="157"/>
      <c r="Y427" s="157"/>
      <c r="Z427" s="157"/>
      <c r="AA427" s="157"/>
      <c r="AB427" s="157"/>
      <c r="AC427" s="157"/>
      <c r="AD427" s="157"/>
      <c r="AE427" s="157"/>
      <c r="AF427" s="157"/>
      <c r="AG427" s="157"/>
      <c r="AH427" s="157"/>
    </row>
    <row r="428" spans="1:34" hidden="1">
      <c r="A428" s="396"/>
      <c r="B428" s="386"/>
      <c r="C428" s="481" t="s">
        <v>273</v>
      </c>
      <c r="D428" s="388"/>
      <c r="E428" s="387"/>
      <c r="F428" s="475" t="s">
        <v>154</v>
      </c>
      <c r="G428" s="482">
        <f>SUM(G423:G427)</f>
        <v>36747.369999999995</v>
      </c>
      <c r="H428" s="384"/>
      <c r="I428" s="387"/>
      <c r="J428" s="387"/>
      <c r="K428" s="387"/>
      <c r="L428" s="384"/>
      <c r="M428" s="387"/>
      <c r="N428" s="384"/>
      <c r="O428" s="387"/>
      <c r="P428" s="384"/>
      <c r="Q428" s="387"/>
      <c r="R428" s="540"/>
      <c r="S428" s="540"/>
      <c r="T428" s="540"/>
      <c r="U428" s="540"/>
    </row>
    <row r="429" spans="1:34" hidden="1">
      <c r="A429" s="396"/>
      <c r="B429" s="386"/>
      <c r="C429" s="481"/>
      <c r="D429" s="388"/>
      <c r="E429" s="387"/>
      <c r="F429" s="475"/>
      <c r="G429" s="482"/>
      <c r="H429" s="384"/>
      <c r="I429" s="387"/>
      <c r="J429" s="387"/>
      <c r="K429" s="387"/>
      <c r="L429" s="384"/>
      <c r="M429" s="387"/>
      <c r="N429" s="384"/>
      <c r="O429" s="387"/>
      <c r="P429" s="384"/>
      <c r="Q429" s="387"/>
      <c r="R429" s="540"/>
      <c r="S429" s="540"/>
      <c r="T429" s="540"/>
      <c r="U429" s="540"/>
    </row>
    <row r="430" spans="1:34" hidden="1">
      <c r="A430" s="396"/>
      <c r="B430" s="386"/>
      <c r="C430" s="481"/>
      <c r="D430" s="388"/>
      <c r="E430" s="387"/>
      <c r="F430" s="475"/>
      <c r="G430" s="482"/>
      <c r="H430" s="384"/>
      <c r="I430" s="387"/>
      <c r="J430" s="387"/>
      <c r="K430" s="387"/>
      <c r="L430" s="384"/>
      <c r="M430" s="387"/>
      <c r="N430" s="384"/>
      <c r="O430" s="387"/>
      <c r="P430" s="384"/>
      <c r="Q430" s="387"/>
      <c r="R430" s="540"/>
      <c r="S430" s="540"/>
      <c r="T430" s="540"/>
      <c r="U430" s="540"/>
    </row>
    <row r="431" spans="1:34" ht="204" hidden="1">
      <c r="A431" s="396"/>
      <c r="B431" s="386">
        <v>14</v>
      </c>
      <c r="C431" s="492" t="s">
        <v>1245</v>
      </c>
      <c r="D431" s="338"/>
      <c r="E431" s="399"/>
      <c r="F431" s="472"/>
      <c r="G431" s="414"/>
      <c r="H431" s="1600" t="s">
        <v>446</v>
      </c>
      <c r="I431" s="1601"/>
      <c r="J431" s="1600" t="s">
        <v>440</v>
      </c>
      <c r="K431" s="1601"/>
      <c r="L431" s="1600" t="s">
        <v>439</v>
      </c>
      <c r="M431" s="1604"/>
      <c r="N431" s="1600" t="s">
        <v>717</v>
      </c>
      <c r="O431" s="1601"/>
      <c r="P431" s="1600" t="s">
        <v>718</v>
      </c>
      <c r="Q431" s="1601"/>
      <c r="R431" s="1600" t="s">
        <v>759</v>
      </c>
      <c r="S431" s="1601"/>
      <c r="T431" s="1602" t="s">
        <v>760</v>
      </c>
      <c r="U431" s="1603"/>
      <c r="V431" s="969"/>
      <c r="W431" s="969"/>
      <c r="X431" s="969"/>
      <c r="Y431" s="969"/>
      <c r="Z431" s="969"/>
      <c r="AA431" s="969"/>
      <c r="AB431" s="969"/>
      <c r="AC431" s="969"/>
      <c r="AD431" s="969"/>
      <c r="AE431" s="969"/>
      <c r="AF431" s="969"/>
      <c r="AG431" s="969"/>
      <c r="AH431" s="969"/>
    </row>
    <row r="432" spans="1:34" hidden="1">
      <c r="A432" s="396"/>
      <c r="B432" s="386"/>
      <c r="C432" s="474" t="s">
        <v>857</v>
      </c>
      <c r="D432" s="338">
        <v>1.5</v>
      </c>
      <c r="E432" s="399" t="s">
        <v>862</v>
      </c>
      <c r="F432" s="472">
        <v>0.3</v>
      </c>
      <c r="G432" s="414"/>
      <c r="H432" s="603" t="s">
        <v>856</v>
      </c>
      <c r="I432" s="604">
        <v>0.24399999999999999</v>
      </c>
      <c r="J432" s="603" t="s">
        <v>856</v>
      </c>
      <c r="K432" s="604">
        <v>0.31</v>
      </c>
      <c r="L432" s="603" t="s">
        <v>856</v>
      </c>
      <c r="M432" s="604">
        <v>0.4</v>
      </c>
      <c r="N432" s="603" t="s">
        <v>856</v>
      </c>
      <c r="O432" s="604">
        <v>0.6</v>
      </c>
      <c r="P432" s="603" t="s">
        <v>856</v>
      </c>
      <c r="Q432" s="604">
        <v>0.77</v>
      </c>
      <c r="R432" s="603" t="s">
        <v>867</v>
      </c>
      <c r="S432" s="604">
        <v>0.99</v>
      </c>
      <c r="T432" s="603" t="s">
        <v>867</v>
      </c>
      <c r="U432" s="604">
        <v>1.23</v>
      </c>
      <c r="V432" s="967"/>
      <c r="W432" s="967"/>
      <c r="X432" s="967"/>
      <c r="Y432" s="967"/>
      <c r="Z432" s="967"/>
      <c r="AA432" s="967"/>
      <c r="AB432" s="967"/>
      <c r="AC432" s="967"/>
      <c r="AD432" s="967"/>
      <c r="AE432" s="967"/>
      <c r="AF432" s="967"/>
      <c r="AG432" s="967"/>
      <c r="AH432" s="967"/>
    </row>
    <row r="433" spans="1:34" hidden="1">
      <c r="A433" s="396"/>
      <c r="B433" s="386"/>
      <c r="C433" s="474" t="s">
        <v>858</v>
      </c>
      <c r="D433" s="338">
        <v>1.4</v>
      </c>
      <c r="E433" s="399" t="s">
        <v>859</v>
      </c>
      <c r="F433" s="472">
        <v>0.23</v>
      </c>
      <c r="G433" s="414"/>
      <c r="H433" s="603"/>
      <c r="I433" s="604"/>
      <c r="J433" s="603"/>
      <c r="K433" s="604"/>
      <c r="L433" s="603"/>
      <c r="M433" s="604"/>
      <c r="N433" s="603"/>
      <c r="O433" s="604"/>
      <c r="P433" s="603"/>
      <c r="Q433" s="604"/>
      <c r="R433" s="706"/>
      <c r="S433" s="707"/>
      <c r="T433" s="706"/>
      <c r="U433" s="707"/>
      <c r="V433" s="966"/>
      <c r="W433" s="966"/>
      <c r="X433" s="966"/>
      <c r="Y433" s="966"/>
      <c r="Z433" s="966"/>
      <c r="AA433" s="966"/>
      <c r="AB433" s="966"/>
      <c r="AC433" s="966"/>
      <c r="AD433" s="966"/>
      <c r="AE433" s="966"/>
      <c r="AF433" s="966"/>
      <c r="AG433" s="966"/>
      <c r="AH433" s="966"/>
    </row>
    <row r="434" spans="1:34" hidden="1">
      <c r="A434" s="396"/>
      <c r="B434" s="386"/>
      <c r="C434" s="474" t="s">
        <v>860</v>
      </c>
      <c r="D434" s="338">
        <v>0.1</v>
      </c>
      <c r="E434" s="399" t="s">
        <v>861</v>
      </c>
      <c r="F434" s="472">
        <v>0.23</v>
      </c>
      <c r="G434" s="414"/>
      <c r="H434" s="603"/>
      <c r="I434" s="604"/>
      <c r="J434" s="603"/>
      <c r="K434" s="604"/>
      <c r="L434" s="603"/>
      <c r="M434" s="604"/>
      <c r="N434" s="603"/>
      <c r="O434" s="604"/>
      <c r="P434" s="603"/>
      <c r="Q434" s="604"/>
      <c r="R434" s="706"/>
      <c r="S434" s="707"/>
      <c r="T434" s="706"/>
      <c r="U434" s="707"/>
      <c r="V434" s="966"/>
      <c r="W434" s="966"/>
      <c r="X434" s="966"/>
      <c r="Y434" s="966"/>
      <c r="Z434" s="966"/>
      <c r="AA434" s="966"/>
      <c r="AB434" s="966"/>
      <c r="AC434" s="966"/>
      <c r="AD434" s="966"/>
      <c r="AE434" s="966"/>
      <c r="AF434" s="966"/>
      <c r="AG434" s="966"/>
      <c r="AH434" s="966"/>
    </row>
    <row r="435" spans="1:34" hidden="1">
      <c r="A435" s="396"/>
      <c r="B435" s="386"/>
      <c r="C435" s="474" t="s">
        <v>865</v>
      </c>
      <c r="D435" s="338">
        <v>0.9</v>
      </c>
      <c r="E435" s="399" t="s">
        <v>866</v>
      </c>
      <c r="F435" s="472">
        <v>0.35</v>
      </c>
      <c r="G435" s="414"/>
      <c r="H435" s="603"/>
      <c r="I435" s="604"/>
      <c r="J435" s="603"/>
      <c r="K435" s="604"/>
      <c r="L435" s="603"/>
      <c r="M435" s="604"/>
      <c r="N435" s="603"/>
      <c r="O435" s="604"/>
      <c r="P435" s="603"/>
      <c r="Q435" s="604"/>
      <c r="R435" s="706"/>
      <c r="S435" s="707"/>
      <c r="T435" s="706"/>
      <c r="U435" s="707"/>
      <c r="V435" s="966"/>
      <c r="W435" s="966"/>
      <c r="X435" s="966"/>
      <c r="Y435" s="966"/>
      <c r="Z435" s="966"/>
      <c r="AA435" s="966"/>
      <c r="AB435" s="966"/>
      <c r="AC435" s="966"/>
      <c r="AD435" s="966"/>
      <c r="AE435" s="966"/>
      <c r="AF435" s="966"/>
      <c r="AG435" s="966"/>
      <c r="AH435" s="966"/>
    </row>
    <row r="436" spans="1:34" hidden="1">
      <c r="A436" s="396"/>
      <c r="B436" s="386"/>
      <c r="C436" s="474" t="str">
        <f>CONCATENATE("CC in CM( 1:4:8) PI/4x(0.9+0.46+0.3)x0.15=",E436)</f>
        <v>CC in CM( 1:4:8) PI/4x(0.9+0.46+0.3)x0.15=</v>
      </c>
      <c r="D436" s="338">
        <v>0.56000000000000005</v>
      </c>
      <c r="E436" s="399"/>
      <c r="F436" s="472"/>
      <c r="G436" s="414"/>
      <c r="H436" s="603"/>
      <c r="I436" s="604"/>
      <c r="J436" s="603"/>
      <c r="K436" s="604"/>
      <c r="L436" s="603"/>
      <c r="M436" s="604"/>
      <c r="N436" s="603"/>
      <c r="O436" s="604"/>
      <c r="P436" s="603"/>
      <c r="Q436" s="604"/>
      <c r="R436" s="706"/>
      <c r="S436" s="707"/>
      <c r="T436" s="706"/>
      <c r="U436" s="707"/>
      <c r="V436" s="966"/>
      <c r="W436" s="966"/>
      <c r="X436" s="966"/>
      <c r="Y436" s="966"/>
      <c r="Z436" s="966"/>
      <c r="AA436" s="966"/>
      <c r="AB436" s="966"/>
      <c r="AC436" s="966"/>
      <c r="AD436" s="966"/>
      <c r="AE436" s="966"/>
      <c r="AF436" s="966"/>
      <c r="AG436" s="966"/>
      <c r="AH436" s="966"/>
    </row>
    <row r="437" spans="1:34" ht="51" hidden="1">
      <c r="A437" s="396"/>
      <c r="B437" s="386"/>
      <c r="C437" s="474" t="str">
        <f>CONCATENATE("2nd Class Brick Masonory in cm (1: 6) Prop using 2nd class bricks for Uniform Section( PIx1.13x0.23x0.4)-(PI/4*0.23*0.23*.23*2)=",E437)</f>
        <v>2nd Class Brick Masonory in cm (1: 6) Prop using 2nd class bricks for Uniform Section( PIx1.13x0.23x0.4)-(PI/4*0.23*0.23*.23*2)=1.47262155637022</v>
      </c>
      <c r="D437" s="338" t="s">
        <v>109</v>
      </c>
      <c r="E437" s="489">
        <f t="shared" ref="E437:E442" si="51">U437</f>
        <v>1.4726215563702156</v>
      </c>
      <c r="F437" s="472">
        <f>F416</f>
        <v>5383.2900000000009</v>
      </c>
      <c r="G437" s="477">
        <f t="shared" ref="G437:G443" si="52">+ROUND(E437*F437,2)</f>
        <v>7927.55</v>
      </c>
      <c r="H437" s="477"/>
      <c r="I437" s="477">
        <f>(PI()/4)*(($D$330+(2*$F$333))+0.3)^2*$F$330</f>
        <v>1.4726215563702156</v>
      </c>
      <c r="J437" s="477"/>
      <c r="K437" s="477">
        <f>(PI()/4)*(($D$330+(2*$F$333))+0.3)^2*$F$330</f>
        <v>1.4726215563702156</v>
      </c>
      <c r="L437" s="477"/>
      <c r="M437" s="477">
        <f>(PI()/4)*(($D$330+(2*$F$333))+0.3)^2*$F$330</f>
        <v>1.4726215563702156</v>
      </c>
      <c r="N437" s="477"/>
      <c r="O437" s="477">
        <f>(PI()/4)*(($D$330+(2*$F$333))+0.3)^2*$F$330</f>
        <v>1.4726215563702156</v>
      </c>
      <c r="P437" s="477"/>
      <c r="Q437" s="477">
        <f>(PI()/4)*(($D$330+(2*$F$333))+0.3)^2*$F$330</f>
        <v>1.4726215563702156</v>
      </c>
      <c r="R437" s="477"/>
      <c r="S437" s="477">
        <f>(PI()/4)*(($D$330+(2*$F$333))+0.3)^2*$F$330</f>
        <v>1.4726215563702156</v>
      </c>
      <c r="T437" s="477"/>
      <c r="U437" s="477">
        <f>(PI()/4)*(($D$330+(2*$F$333))+0.3)^2*$F$330</f>
        <v>1.4726215563702156</v>
      </c>
      <c r="V437" s="447"/>
      <c r="W437" s="447"/>
      <c r="X437" s="447"/>
      <c r="Y437" s="447"/>
      <c r="Z437" s="447"/>
      <c r="AA437" s="447"/>
      <c r="AB437" s="447"/>
      <c r="AC437" s="447"/>
      <c r="AD437" s="447"/>
      <c r="AE437" s="447"/>
      <c r="AF437" s="447"/>
      <c r="AG437" s="447"/>
      <c r="AH437" s="447"/>
    </row>
    <row r="438" spans="1:34" ht="51" hidden="1">
      <c r="A438" s="396"/>
      <c r="B438" s="386"/>
      <c r="C438" s="474" t="str">
        <f>CONCATENATE("2nd Class Brick Masonory work  in cm (1: 6) )Prop using 2nd class bricks for Carbelling Portion Pix(1.13+0.78)/2x0.23x(0.6-.25)=",E438)</f>
        <v>2nd Class Brick Masonory work  in cm (1: 6) )Prop using 2nd class bricks for Carbelling Portion Pix(1.13+0.78)/2x0.23x(0.6-.25)=1.20076709056579</v>
      </c>
      <c r="D438" s="338" t="s">
        <v>109</v>
      </c>
      <c r="E438" s="489">
        <f t="shared" si="51"/>
        <v>1.2007670905657899</v>
      </c>
      <c r="F438" s="472">
        <f>F417</f>
        <v>8504.4699999999993</v>
      </c>
      <c r="G438" s="477">
        <f t="shared" si="52"/>
        <v>10211.89</v>
      </c>
      <c r="H438" s="479">
        <f>ROUND(PI()/4*I432*I432*(($D$333/I432)*$F$333+(((I432-$D$333)/I432)*$F$332))*2,3)</f>
        <v>6.3E-2</v>
      </c>
      <c r="I438" s="479">
        <f>(PI()*($D$330+$F$333)*$F$333*$D$333)+(PI()*($D$330+$F$332)*$F$332*$D$332)-H438</f>
        <v>1.8927670905657898</v>
      </c>
      <c r="J438" s="479">
        <f>ROUND(PI()/4*K432*K432*(($D$333/K432)*$F$333+(((K432-$D$333)/K432)*$F$332))*2,3)</f>
        <v>8.6999999999999994E-2</v>
      </c>
      <c r="K438" s="479">
        <f>(PI()*($D$330+$F$333)*$F$333*$D$333)+(PI()*($D$330+$F$332)*$F$332*$D$332)-J438</f>
        <v>1.8687670905657898</v>
      </c>
      <c r="L438" s="479">
        <f>ROUND(PI()/4*M432*M432*(($D$333/M432)*$F$333+(((M432-$D$333)/M432)*$F$332))*2,3)</f>
        <v>0.126</v>
      </c>
      <c r="M438" s="479">
        <f>(PI()*($D$330+$F$333)*$F$333*$D$333)+(PI()*($D$330+$F$332)*$F$332*$D$332)-L438</f>
        <v>1.8297670905657899</v>
      </c>
      <c r="N438" s="479">
        <f>ROUND(PI()/4*O432*O432*(($D$333/O432)*$F$333+(((O432-$D$333)/O432)*$F$332))*2,3)</f>
        <v>0.23200000000000001</v>
      </c>
      <c r="O438" s="479">
        <f>(PI()*($D$330+$F$333)*$F$333*$D$333)+(PI()*($D$330+$F$332)*$F$332*$D$332)-N438</f>
        <v>1.7237670905657898</v>
      </c>
      <c r="P438" s="479">
        <f>ROUND(PI()/4*Q432*Q432*(($D$333/Q432)*$F$333+(((Q432-$D$333)/Q432)*$F$332))*2,3)</f>
        <v>0.34499999999999997</v>
      </c>
      <c r="Q438" s="479">
        <f>(PI()*($D$330+$F$333)*$F$333*$D$333)+(PI()*($D$330+$F$332)*$F$332*$D$332)-P438</f>
        <v>1.6107670905657898</v>
      </c>
      <c r="R438" s="479">
        <f>ROUND(PI()/4*S432*S432*(($D$333/S432)*$F$333+(((S432-$D$333)/S432)*$F$332))*2,3)</f>
        <v>0.52200000000000002</v>
      </c>
      <c r="S438" s="479">
        <f>(PI()*($D$330+$F$333)*$F$333*$D$333)+(PI()*($D$330+$F$332)*$F$332*$D$332)-R438</f>
        <v>1.4337670905657898</v>
      </c>
      <c r="T438" s="479">
        <f>ROUND(PI()/4*U432*U432*(($D$333/U432)*$F$333+(((U432-$D$333)/U432)*$F$332))*2,3)</f>
        <v>0.755</v>
      </c>
      <c r="U438" s="479">
        <f>(PI()*($D$330+$F$333)*$F$333*$D$333)+(PI()*($D$330+$F$332)*$F$332*$D$332)-T438</f>
        <v>1.2007670905657899</v>
      </c>
      <c r="V438" s="465"/>
      <c r="W438" s="465"/>
      <c r="X438" s="465"/>
      <c r="Y438" s="465"/>
      <c r="Z438" s="465"/>
      <c r="AA438" s="465"/>
      <c r="AB438" s="465"/>
      <c r="AC438" s="465"/>
      <c r="AD438" s="465"/>
      <c r="AE438" s="465"/>
      <c r="AF438" s="465"/>
      <c r="AG438" s="465"/>
      <c r="AH438" s="465"/>
    </row>
    <row r="439" spans="1:34" ht="51" hidden="1">
      <c r="A439" s="396"/>
      <c r="B439" s="386"/>
      <c r="C439" s="970" t="str">
        <f>CONCATENATE("External Plastering in CM(1:4) of 12 mm thick vertical portion Pix(.9+.23*2)x0.40 and sloped portion Pix(1.36+1.01)/2x(0.6-.25)  Dedcut Pipe Portion 2xPI()/4x0.23x0.23=",E439)</f>
        <v>External Plastering in CM(1:4) of 12 mm thick vertical portion Pix(.9+.23*2)x0.40 and sloped portion Pix(1.36+1.01)/2x(0.6-.25)  Dedcut Pipe Portion 2xPI()/4x0.23x0.23=1.11528109998764</v>
      </c>
      <c r="D439" s="338" t="s">
        <v>109</v>
      </c>
      <c r="E439" s="489">
        <f t="shared" si="51"/>
        <v>1.1152810999876444</v>
      </c>
      <c r="F439" s="472">
        <f>F438</f>
        <v>8504.4699999999993</v>
      </c>
      <c r="G439" s="477">
        <f t="shared" si="52"/>
        <v>9484.8700000000008</v>
      </c>
      <c r="H439" s="389"/>
      <c r="I439" s="389">
        <f>(PI()*(($D$330+$F$331+$D$334+$F$331)/2)*$F$331)*($D$331-0.25)</f>
        <v>1.0469985836618703</v>
      </c>
      <c r="J439" s="389"/>
      <c r="K439" s="389">
        <f>(PI()*(($D$330+$F$331+$D$334+$F$331)/2)*$F$331)*($D$331-0.25)</f>
        <v>1.0469985836618703</v>
      </c>
      <c r="L439" s="493"/>
      <c r="M439" s="389">
        <f>(PI()*(($D$330+$F$331+$D$334+$F$331)/2)*$F$331)*($D$331-0.25)</f>
        <v>1.0469985836618703</v>
      </c>
      <c r="N439" s="389"/>
      <c r="O439" s="389">
        <f>(PI()*(($D$330+$F$331+$D$334+$F$331)/2)*$F$331)*($D$331-0.25)</f>
        <v>1.0469985836618703</v>
      </c>
      <c r="P439" s="389"/>
      <c r="Q439" s="389">
        <f>(PI()*(($D$330+$F$331+$D$334+$F$331)/2)*$F$331)*($D$331-0.25)</f>
        <v>1.0469985836618703</v>
      </c>
      <c r="R439" s="493"/>
      <c r="S439" s="389">
        <f>(PI()*(($D$330+$F$331+$D$334+$F$331)/2)*$F$331)*($D$331-0.25)</f>
        <v>1.0469985836618703</v>
      </c>
      <c r="T439" s="493"/>
      <c r="U439" s="389">
        <f>(PI()*(($D$330+$F$331+$D$334+$F$331)/2)*$F$331)*($D$331-0.175)</f>
        <v>1.1152810999876444</v>
      </c>
      <c r="V439" s="165"/>
      <c r="W439" s="165"/>
      <c r="X439" s="165"/>
      <c r="Y439" s="165"/>
      <c r="Z439" s="165"/>
      <c r="AA439" s="165"/>
      <c r="AB439" s="165"/>
      <c r="AC439" s="165"/>
      <c r="AD439" s="165"/>
      <c r="AE439" s="165"/>
      <c r="AF439" s="165"/>
      <c r="AG439" s="165"/>
      <c r="AH439" s="165"/>
    </row>
    <row r="440" spans="1:34" ht="51" hidden="1">
      <c r="A440" s="396"/>
      <c r="B440" s="386"/>
      <c r="C440" s="474" t="str">
        <f>CONCATENATE("Internal Plastering in CM(1:4) of 20 mm thick uniform portion PIx0.90x0.4 and Sloped Portion Pix(0.90+0.56)/2x(.6-.25)  Dedcut Pipe Portion 2xPI()/4x0.25x0.25=",E440)</f>
        <v>Internal Plastering in CM(1:4) of 20 mm thick uniform portion PIx0.90x0.4 and Sloped Portion Pix(0.90+0.56)/2x(.6-.25)  Dedcut Pipe Portion 2xPI()/4x0.25x0.25=11.0134678895997</v>
      </c>
      <c r="D440" s="338" t="s">
        <v>224</v>
      </c>
      <c r="E440" s="489">
        <f t="shared" si="51"/>
        <v>11.013467889599701</v>
      </c>
      <c r="F440" s="472">
        <f>F419</f>
        <v>170.45499999999998</v>
      </c>
      <c r="G440" s="477">
        <f t="shared" si="52"/>
        <v>1877.3</v>
      </c>
      <c r="H440" s="389">
        <f>ROUND(PI()/4*I432*I432*2,3)</f>
        <v>9.4E-2</v>
      </c>
      <c r="I440" s="389">
        <f>(PI()*($D$330+2*($F$333))*($D$333))+(PI()*($D$330+(2*$F$333))*$D$333)+(PI()*(($D$330+2*($F$331)+$D$334+2*($F$331))/2)*($D$331-0.25))-H440</f>
        <v>17.729825920141693</v>
      </c>
      <c r="J440" s="389">
        <f>ROUND(PI()/4*K432*K432*2,3)</f>
        <v>0.151</v>
      </c>
      <c r="K440" s="389">
        <f>(PI()*($D$330+2*($F$333))*($D$333))+(PI()*($D$330+(2*$F$333))*$D$333)+(PI()*(($D$330+2*($F$331)+$D$334+2*($F$331))/2)*($D$331-0.25))-J440</f>
        <v>17.672825920141694</v>
      </c>
      <c r="L440" s="389">
        <f>ROUND(PI()/4*M432*M432*2,3)</f>
        <v>0.251</v>
      </c>
      <c r="M440" s="389">
        <f>(PI()*($D$330+2*($F$333))*($D$333))+(PI()*($D$330+(2*$F$333))*$D$333)+(PI()*(($D$330+2*($F$331)+$D$334+2*($F$331))/2)*($D$331-0.25))-L440</f>
        <v>17.572825920141693</v>
      </c>
      <c r="N440" s="389">
        <f>ROUND(PI()/4*O432*O432*2,3)</f>
        <v>0.56499999999999995</v>
      </c>
      <c r="O440" s="389">
        <f>(PI()*($D$330+2*($F$333))*($D$333))+(PI()*($D$330+(2*$F$333))*$D$333)+(PI()*(($D$330+2*($F$331)+$D$334+2*($F$331))/2)*($D$331-0.25))-N440</f>
        <v>17.258825920141692</v>
      </c>
      <c r="P440" s="389">
        <f>ROUND(PI()/4*Q432*Q432*2,3)</f>
        <v>0.93100000000000005</v>
      </c>
      <c r="Q440" s="389">
        <f>(PI()*($D$330+2*($F$333))*($D$333))+(PI()*($D$330+(2*$F$333))*$D$333)+(PI()*(($D$330+2*($F$331)+$D$334+2*($F$331))/2)*($D$331-0.25))-P440</f>
        <v>16.892825920141693</v>
      </c>
      <c r="R440" s="389">
        <f>ROUND(PI()/4*S432*S432*2,3)</f>
        <v>1.54</v>
      </c>
      <c r="S440" s="389">
        <f>(PI()*($D$330+2*($F$333))*($D$333))+(PI()*($D$330+(2*$F$333))*$D$333)+(PI()*(($D$330+2*($F$331)+$D$334+2*($F$331))/2)*($D$331-0.25))-R440</f>
        <v>16.283825920141695</v>
      </c>
      <c r="T440" s="389">
        <f>ROUND(PI()/4*U432*U432*2,3)</f>
        <v>2.3759999999999999</v>
      </c>
      <c r="U440" s="389">
        <f>(PI()*($D$330+2*($F$333))*($D$333))+(PI()*($D$330+(2*$F$332))*$D$332)+(PI()*(($D$330+2*($F$331)+$D$334+2*($F$331))/2)*($D$331))-T440</f>
        <v>11.013467889599701</v>
      </c>
      <c r="V440" s="165"/>
      <c r="W440" s="165"/>
      <c r="X440" s="165"/>
      <c r="Y440" s="165"/>
      <c r="Z440" s="165"/>
      <c r="AA440" s="165"/>
      <c r="AB440" s="165"/>
      <c r="AC440" s="165"/>
      <c r="AD440" s="165"/>
      <c r="AE440" s="165"/>
      <c r="AF440" s="165"/>
      <c r="AG440" s="165"/>
      <c r="AH440" s="165"/>
    </row>
    <row r="441" spans="1:34" ht="51" hidden="1">
      <c r="A441" s="396"/>
      <c r="B441" s="386"/>
      <c r="C441" s="473" t="str">
        <f>CONCATENATE("CC Channeling with (1:2.5:5) Prop  PIx0.9x0.9x0.30/4 = over Manhole alround for Cover PIx0.81x0.15x0.10= deduct Channel 0.90x0.25x0.25=",E441)</f>
        <v>CC Channeling with (1:2.5:5) Prop  PIx0.9x0.9x0.30/4 = over Manhole alround for Cover PIx0.81x0.15x0.10= deduct Channel 0.90x0.25x0.25=2.88029351105161</v>
      </c>
      <c r="D441" s="338" t="s">
        <v>224</v>
      </c>
      <c r="E441" s="399">
        <f t="shared" si="51"/>
        <v>2.8802935110516108</v>
      </c>
      <c r="F441" s="472">
        <f>F420</f>
        <v>259.48599999999999</v>
      </c>
      <c r="G441" s="477">
        <f t="shared" si="52"/>
        <v>747.4</v>
      </c>
      <c r="H441" s="389">
        <f>ROUND(PI()*$D$330*I432,3)</f>
        <v>1.1499999999999999</v>
      </c>
      <c r="I441" s="490">
        <f>((PI()*$D$330*$D$333)+(PI()*($D$330)*$D$332)+(PI()*($D$330+$D$334)/2*($D$331-0.175)))-H441</f>
        <v>7.5262935110516107</v>
      </c>
      <c r="J441" s="389">
        <f>ROUND(PI()*$D$330*K432,3)</f>
        <v>1.4610000000000001</v>
      </c>
      <c r="K441" s="490">
        <f>((PI()*$D$330*$D$333)+(PI()*($D$330)*$D$332)+(PI()*($D$330+$D$334)/2*($D$331-0.175)))-J441</f>
        <v>7.2152935110516108</v>
      </c>
      <c r="L441" s="389">
        <f>ROUND(PI()*$D$330*M432,3)</f>
        <v>1.885</v>
      </c>
      <c r="M441" s="490">
        <f>((PI()*$D$330*$D$333)+(PI()*($D$330)*$D$332)+(PI()*($D$330+$D$334)/2*($D$331-0.175)))-L441</f>
        <v>6.7912935110516113</v>
      </c>
      <c r="N441" s="389">
        <f>ROUND(PI()*$D$330*O432,3)</f>
        <v>2.827</v>
      </c>
      <c r="O441" s="490">
        <f>((PI()*$D$330*$D$333)+(PI()*($D$330)*$D$332)+(PI()*($D$330+$D$334)/2*($D$331-0.175)))-N441</f>
        <v>5.8492935110516111</v>
      </c>
      <c r="P441" s="389">
        <f>ROUND(PI()*$D$330*Q432,3)</f>
        <v>3.629</v>
      </c>
      <c r="Q441" s="490">
        <f>((PI()*$D$330*$D$333)+(PI()*($D$330)*$D$332)+(PI()*($D$330+$D$334)/2*($D$331-0.175)))-P441</f>
        <v>5.0472935110516115</v>
      </c>
      <c r="R441" s="389">
        <f>ROUND(PI()*$D$330*S432,3)</f>
        <v>4.665</v>
      </c>
      <c r="S441" s="490">
        <f>((PI()*$D$330*$D$333)+(PI()*($D$330)*$D$332)+(PI()*($D$330+$D$334)/2*($D$331-0.175)))-R441</f>
        <v>4.011293511051611</v>
      </c>
      <c r="T441" s="389">
        <f>ROUND(PI()*$D$330*U432,3)</f>
        <v>5.7960000000000003</v>
      </c>
      <c r="U441" s="490">
        <f>((PI()*$D$330*$D$333)+(PI()*($D$330)*$D$332)+(PI()*($D$330+$D$334)/2*($D$331-0.175)))-T441</f>
        <v>2.8802935110516108</v>
      </c>
      <c r="V441" s="467"/>
      <c r="W441" s="467"/>
      <c r="X441" s="467"/>
      <c r="Y441" s="467"/>
      <c r="Z441" s="467"/>
      <c r="AA441" s="467"/>
      <c r="AB441" s="467"/>
      <c r="AC441" s="467"/>
      <c r="AD441" s="467"/>
      <c r="AE441" s="467"/>
      <c r="AF441" s="467"/>
      <c r="AG441" s="467"/>
      <c r="AH441" s="467"/>
    </row>
    <row r="442" spans="1:34" ht="51" hidden="1">
      <c r="A442" s="396"/>
      <c r="B442" s="386"/>
      <c r="C442" s="473" t="s">
        <v>762</v>
      </c>
      <c r="D442" s="338" t="s">
        <v>109</v>
      </c>
      <c r="E442" s="489">
        <f t="shared" si="51"/>
        <v>0.50896717272218694</v>
      </c>
      <c r="F442" s="472">
        <f>F421</f>
        <v>6018.18</v>
      </c>
      <c r="G442" s="477">
        <f t="shared" si="52"/>
        <v>3063.06</v>
      </c>
      <c r="H442" s="389">
        <f>ROUND($D$330*(PI()/4)*I432*I432,3)</f>
        <v>7.0000000000000007E-2</v>
      </c>
      <c r="I442" s="389">
        <f>(((PI()*$D$330^2/4)*I432)+(PI()*($D$330+$F$331)*$F$333*0.075)+(PI()*(0.71+0.08)*0.08*0.175))-H442</f>
        <v>0.53859718283504865</v>
      </c>
      <c r="J442" s="389">
        <f>ROUND($D$330*(PI()/4)*K432*K432,3)</f>
        <v>0.113</v>
      </c>
      <c r="K442" s="389">
        <f>(((PI()*$D$330^2/4)*K432)+(PI()*($D$330+$F$331)*$F$333*0.075)+(PI()*(0.71+0.08)*0.08*0.175))-J442</f>
        <v>0.61222881009956975</v>
      </c>
      <c r="L442" s="389">
        <f>ROUND($D$330*(PI()/4)*M432*M432,3)</f>
        <v>0.188</v>
      </c>
      <c r="M442" s="389">
        <f>(((PI()*$D$330^2/4)*M432)+(PI()*($D$330+$F$331)*$F$333*0.075)+(PI()*(0.71+0.08)*0.08*0.175))-L442</f>
        <v>0.69627193818755306</v>
      </c>
      <c r="N442" s="389">
        <f>ROUND($D$330*(PI()/4)*O432*O432,3)</f>
        <v>0.42399999999999999</v>
      </c>
      <c r="O442" s="389">
        <f>(((PI()*$D$330^2/4)*O432)+(PI()*($D$330+$F$331)*$F$333*0.075)+(PI()*(0.71+0.08)*0.08*0.175))-N442</f>
        <v>0.8137011117164048</v>
      </c>
      <c r="P442" s="389">
        <f>ROUND($D$330*(PI()/4)*Q432*Q432,3)</f>
        <v>0.69799999999999995</v>
      </c>
      <c r="Q442" s="389">
        <f>(((PI()*$D$330^2/4)*Q432)+(PI()*($D$330+$F$331)*$F$333*0.075)+(PI()*(0.71+0.08)*0.08*0.175))-P442</f>
        <v>0.84011590921592871</v>
      </c>
      <c r="R442" s="389">
        <f>ROUND($D$330*(PI()/4)*S432*S432,3)</f>
        <v>1.155</v>
      </c>
      <c r="S442" s="389">
        <f>(((PI()*$D$330^2/4)*S432)+(PI()*($D$330+$F$331)*$F$333*0.075)+(PI()*(0.71+0.08)*0.08*0.175))-R442</f>
        <v>0.77188800009766556</v>
      </c>
      <c r="T442" s="389">
        <f>ROUND($D$330*(PI()/4)*U432*U432,3)</f>
        <v>1.782</v>
      </c>
      <c r="U442" s="389">
        <f>(((PI()*$D$330^2/4)*U432)+(PI()*($D$330+$F$331)*$F$331*0.075)+(PI()*(0.71+2*0.075+0.08)*0.08*0.1))-T442</f>
        <v>0.50896717272218694</v>
      </c>
      <c r="V442" s="165"/>
      <c r="W442" s="165"/>
      <c r="X442" s="165"/>
      <c r="Y442" s="165"/>
      <c r="Z442" s="165"/>
      <c r="AA442" s="165"/>
      <c r="AB442" s="165"/>
      <c r="AC442" s="165"/>
      <c r="AD442" s="165"/>
      <c r="AE442" s="165"/>
      <c r="AF442" s="165"/>
      <c r="AG442" s="165"/>
      <c r="AH442" s="165"/>
    </row>
    <row r="443" spans="1:34" hidden="1">
      <c r="A443" s="396"/>
      <c r="B443" s="386"/>
      <c r="C443" s="473" t="s">
        <v>225</v>
      </c>
      <c r="D443" s="338" t="s">
        <v>226</v>
      </c>
      <c r="E443" s="399">
        <v>3</v>
      </c>
      <c r="F443" s="472">
        <f>F422</f>
        <v>81</v>
      </c>
      <c r="G443" s="477">
        <f t="shared" si="52"/>
        <v>243</v>
      </c>
      <c r="H443" s="477"/>
      <c r="I443" s="389"/>
      <c r="J443" s="389"/>
      <c r="K443" s="389"/>
      <c r="L443" s="389"/>
      <c r="M443" s="389"/>
      <c r="N443" s="389"/>
      <c r="O443" s="389"/>
      <c r="P443" s="389"/>
      <c r="Q443" s="389"/>
      <c r="R443" s="540"/>
      <c r="S443" s="540"/>
      <c r="T443" s="540"/>
      <c r="U443" s="540"/>
    </row>
    <row r="444" spans="1:34" hidden="1">
      <c r="A444" s="396"/>
      <c r="B444" s="386"/>
      <c r="C444" s="480" t="s">
        <v>106</v>
      </c>
      <c r="D444" s="338" t="s">
        <v>226</v>
      </c>
      <c r="E444" s="399"/>
      <c r="F444" s="472" t="s">
        <v>154</v>
      </c>
      <c r="G444" s="414">
        <f>SUM(G437:G443)</f>
        <v>33555.07</v>
      </c>
      <c r="H444" s="414"/>
      <c r="I444" s="389"/>
      <c r="J444" s="389"/>
      <c r="K444" s="389"/>
      <c r="L444" s="389"/>
      <c r="M444" s="389"/>
      <c r="N444" s="389"/>
      <c r="O444" s="389"/>
      <c r="P444" s="389"/>
      <c r="Q444" s="389"/>
      <c r="R444" s="540"/>
      <c r="S444" s="540"/>
      <c r="T444" s="540"/>
      <c r="U444" s="540"/>
    </row>
    <row r="445" spans="1:34" hidden="1">
      <c r="A445" s="416"/>
      <c r="B445" s="755"/>
      <c r="C445" s="754"/>
      <c r="D445" s="168"/>
      <c r="E445" s="752"/>
      <c r="F445" s="753"/>
      <c r="G445" s="415"/>
      <c r="H445" s="466"/>
      <c r="I445" s="165"/>
      <c r="J445" s="165"/>
      <c r="K445" s="165"/>
      <c r="L445" s="165"/>
      <c r="M445" s="165"/>
      <c r="N445" s="165"/>
      <c r="O445" s="165"/>
      <c r="P445" s="165"/>
      <c r="Q445" s="165"/>
      <c r="R445" s="197"/>
      <c r="S445" s="197"/>
      <c r="T445" s="197"/>
      <c r="U445" s="197"/>
      <c r="V445" s="197"/>
      <c r="W445" s="197"/>
      <c r="X445" s="197"/>
      <c r="Y445" s="197"/>
      <c r="Z445" s="197"/>
      <c r="AA445" s="197"/>
      <c r="AB445" s="197"/>
      <c r="AC445" s="197"/>
      <c r="AD445" s="197"/>
      <c r="AE445" s="197"/>
      <c r="AF445" s="197"/>
      <c r="AG445" s="197"/>
      <c r="AH445" s="197"/>
    </row>
    <row r="446" spans="1:34" hidden="1">
      <c r="A446" s="416"/>
      <c r="B446" s="755"/>
      <c r="C446" s="756" t="s">
        <v>319</v>
      </c>
      <c r="D446" s="757"/>
      <c r="E446" s="758"/>
      <c r="F446" s="466"/>
      <c r="G446" s="446"/>
      <c r="H446" s="466"/>
      <c r="I446" s="429"/>
      <c r="J446" s="429"/>
      <c r="K446" s="429"/>
      <c r="L446" s="429"/>
      <c r="M446" s="429"/>
      <c r="N446" s="429"/>
      <c r="O446" s="429"/>
      <c r="P446" s="429"/>
      <c r="Q446" s="429"/>
      <c r="R446" s="197"/>
      <c r="S446" s="197"/>
      <c r="T446" s="197"/>
      <c r="U446" s="197"/>
      <c r="V446" s="197"/>
      <c r="W446" s="197"/>
      <c r="X446" s="197"/>
      <c r="Y446" s="197"/>
      <c r="Z446" s="197"/>
      <c r="AA446" s="197"/>
      <c r="AB446" s="197"/>
      <c r="AC446" s="197"/>
      <c r="AD446" s="197"/>
      <c r="AE446" s="197"/>
      <c r="AF446" s="197"/>
      <c r="AG446" s="197"/>
      <c r="AH446" s="197"/>
    </row>
    <row r="447" spans="1:34" hidden="1">
      <c r="A447" s="416"/>
      <c r="B447" s="755"/>
      <c r="C447" s="756" t="s">
        <v>320</v>
      </c>
      <c r="D447" s="757" t="s">
        <v>109</v>
      </c>
      <c r="E447" s="759">
        <f>ROUND(E437*0.9+E442*0.9,2)</f>
        <v>1.78</v>
      </c>
      <c r="F447" s="466">
        <f>Lead!T316</f>
        <v>0</v>
      </c>
      <c r="G447" s="466">
        <v>0</v>
      </c>
      <c r="H447" s="429"/>
      <c r="I447" s="759">
        <f>ROUND(I437*0.9+I442*0.9,2)</f>
        <v>1.81</v>
      </c>
      <c r="J447" s="759"/>
      <c r="K447" s="759">
        <f>ROUND(K437*0.9+K442*0.9,2)</f>
        <v>1.88</v>
      </c>
      <c r="L447" s="429"/>
      <c r="M447" s="759">
        <f>ROUND(M437*0.9+M442*0.9,2)</f>
        <v>1.95</v>
      </c>
      <c r="N447" s="429"/>
      <c r="O447" s="759"/>
      <c r="P447" s="429"/>
      <c r="Q447" s="759"/>
      <c r="R447" s="197"/>
      <c r="S447" s="197"/>
      <c r="T447" s="197"/>
      <c r="U447" s="197"/>
      <c r="V447" s="197"/>
      <c r="W447" s="197"/>
      <c r="X447" s="197"/>
      <c r="Y447" s="197"/>
      <c r="Z447" s="197"/>
      <c r="AA447" s="197"/>
      <c r="AB447" s="197"/>
      <c r="AC447" s="197"/>
      <c r="AD447" s="197"/>
      <c r="AE447" s="197"/>
      <c r="AF447" s="197"/>
      <c r="AG447" s="197"/>
      <c r="AH447" s="197"/>
    </row>
    <row r="448" spans="1:34" hidden="1">
      <c r="A448" s="416"/>
      <c r="B448" s="755"/>
      <c r="C448" s="756" t="s">
        <v>321</v>
      </c>
      <c r="D448" s="757" t="s">
        <v>109</v>
      </c>
      <c r="E448" s="759">
        <f>ROUND((E438+E439)*0.2+(E440*0.015+E441*0.021)+(E437+E442)*0.45,2)</f>
        <v>1.58</v>
      </c>
      <c r="F448" s="466">
        <f>Lead!T309</f>
        <v>0</v>
      </c>
      <c r="G448" s="466">
        <v>0</v>
      </c>
      <c r="H448" s="429"/>
      <c r="I448" s="759">
        <f>ROUND((I438+I439)*0.2+(I440*0.015+I441*0.021)+(I437+I442)*0.45,2)</f>
        <v>1.92</v>
      </c>
      <c r="J448" s="759"/>
      <c r="K448" s="759">
        <f>ROUND((K438+K439)*0.2+(K440*0.015+K441*0.021)+(K437+K442)*0.45,2)</f>
        <v>1.94</v>
      </c>
      <c r="L448" s="429"/>
      <c r="M448" s="759">
        <f>ROUND((M438+M439)*0.2+(M440*0.015+M441*0.021)+(M437+M442)*0.45,2)</f>
        <v>1.96</v>
      </c>
      <c r="N448" s="429"/>
      <c r="O448" s="759"/>
      <c r="P448" s="429"/>
      <c r="Q448" s="759"/>
      <c r="R448" s="157"/>
      <c r="S448" s="157"/>
      <c r="T448" s="157"/>
      <c r="U448" s="157"/>
      <c r="V448" s="157"/>
      <c r="W448" s="157"/>
      <c r="X448" s="157"/>
      <c r="Y448" s="157"/>
      <c r="Z448" s="157"/>
      <c r="AA448" s="157"/>
      <c r="AB448" s="157"/>
      <c r="AC448" s="157"/>
      <c r="AD448" s="157"/>
      <c r="AE448" s="157"/>
      <c r="AF448" s="157"/>
      <c r="AG448" s="157"/>
      <c r="AH448" s="157"/>
    </row>
    <row r="449" spans="1:17" hidden="1">
      <c r="A449" s="416"/>
      <c r="B449" s="755"/>
      <c r="C449" s="756" t="s">
        <v>273</v>
      </c>
      <c r="D449" s="757"/>
      <c r="E449" s="758"/>
      <c r="F449" s="466" t="s">
        <v>154</v>
      </c>
      <c r="G449" s="446">
        <f>SUM(G444:G448)</f>
        <v>33555.07</v>
      </c>
      <c r="H449" s="429"/>
      <c r="I449" s="758"/>
      <c r="J449" s="758"/>
      <c r="K449" s="758"/>
      <c r="L449" s="429"/>
      <c r="M449" s="758"/>
      <c r="N449" s="429"/>
      <c r="O449" s="758"/>
      <c r="P449" s="429"/>
      <c r="Q449" s="758"/>
    </row>
    <row r="450" spans="1:17" ht="165.75" hidden="1">
      <c r="A450" s="416"/>
      <c r="B450" s="165">
        <v>15</v>
      </c>
      <c r="C450" s="751" t="s">
        <v>1246</v>
      </c>
      <c r="D450" s="462"/>
      <c r="E450" s="752"/>
      <c r="F450" s="753"/>
      <c r="G450" s="447"/>
      <c r="H450" s="165"/>
      <c r="I450" s="165"/>
      <c r="J450" s="165"/>
      <c r="K450" s="165"/>
      <c r="L450" s="165"/>
      <c r="M450" s="165"/>
      <c r="N450" s="165"/>
      <c r="O450" s="165"/>
      <c r="P450" s="165"/>
      <c r="Q450" s="165"/>
    </row>
    <row r="451" spans="1:17" ht="38.25" hidden="1">
      <c r="A451" s="416">
        <f>PI()*1.85*0.23*0.1</f>
        <v>0.13367476741024573</v>
      </c>
      <c r="B451" s="165"/>
      <c r="C451" s="751" t="s">
        <v>1247</v>
      </c>
      <c r="D451" s="462" t="s">
        <v>109</v>
      </c>
      <c r="E451" s="762">
        <f>(PI()*($D$432+F435)*F435)*(0.6)</f>
        <v>1.2205087459196347</v>
      </c>
      <c r="F451" s="753">
        <f>F439</f>
        <v>8504.4699999999993</v>
      </c>
      <c r="G451" s="447">
        <f>+ROUND(E451*F451,2)</f>
        <v>10379.780000000001</v>
      </c>
      <c r="H451" s="165"/>
      <c r="I451" s="165"/>
      <c r="J451" s="165"/>
      <c r="K451" s="165"/>
      <c r="L451" s="165"/>
      <c r="M451" s="165"/>
      <c r="N451" s="165"/>
      <c r="O451" s="165"/>
      <c r="P451" s="165"/>
      <c r="Q451" s="165"/>
    </row>
    <row r="452" spans="1:17" ht="25.5" hidden="1">
      <c r="A452" s="416">
        <f>PI()*2.1*0.1</f>
        <v>0.6597344572538566</v>
      </c>
      <c r="B452" s="165"/>
      <c r="C452" s="751" t="s">
        <v>764</v>
      </c>
      <c r="D452" s="462" t="s">
        <v>224</v>
      </c>
      <c r="E452" s="762">
        <f>(PI()*(D432+(2*(F434)))*0.6)</f>
        <v>3.6945129606215965</v>
      </c>
      <c r="F452" s="753">
        <f>F440</f>
        <v>170.45499999999998</v>
      </c>
      <c r="G452" s="447">
        <f>+ROUND(E452*F452,2)</f>
        <v>629.75</v>
      </c>
      <c r="H452" s="165"/>
      <c r="I452" s="165"/>
      <c r="J452" s="165"/>
      <c r="K452" s="165"/>
      <c r="L452" s="165"/>
      <c r="M452" s="165"/>
      <c r="N452" s="165"/>
      <c r="O452" s="165"/>
      <c r="P452" s="165"/>
      <c r="Q452" s="165"/>
    </row>
    <row r="453" spans="1:17" ht="25.5" hidden="1">
      <c r="A453" s="416">
        <f>PI()*1.5*0.1</f>
        <v>0.47123889803846897</v>
      </c>
      <c r="B453" s="165"/>
      <c r="C453" s="751" t="s">
        <v>763</v>
      </c>
      <c r="D453" s="462" t="s">
        <v>224</v>
      </c>
      <c r="E453" s="762">
        <f>(PI()*D432*0.6)</f>
        <v>2.8274333882308138</v>
      </c>
      <c r="F453" s="753">
        <f>F441</f>
        <v>259.48599999999999</v>
      </c>
      <c r="G453" s="447">
        <f>+ROUND(E453*F453,2)</f>
        <v>733.68</v>
      </c>
      <c r="H453" s="165"/>
      <c r="I453" s="165"/>
      <c r="J453" s="165"/>
      <c r="K453" s="165"/>
      <c r="L453" s="165"/>
      <c r="M453" s="165"/>
      <c r="N453" s="165"/>
      <c r="O453" s="165"/>
      <c r="P453" s="165"/>
      <c r="Q453" s="165"/>
    </row>
    <row r="454" spans="1:17" hidden="1">
      <c r="A454" s="416"/>
      <c r="B454" s="755"/>
      <c r="C454" s="756" t="s">
        <v>319</v>
      </c>
      <c r="D454" s="757"/>
      <c r="E454" s="762">
        <v>1</v>
      </c>
      <c r="F454" s="466"/>
      <c r="G454" s="446"/>
      <c r="H454" s="429"/>
      <c r="I454" s="429"/>
      <c r="J454" s="429"/>
      <c r="K454" s="429"/>
      <c r="L454" s="429"/>
      <c r="M454" s="429"/>
      <c r="N454" s="429"/>
      <c r="O454" s="429"/>
      <c r="P454" s="429"/>
      <c r="Q454" s="429"/>
    </row>
    <row r="455" spans="1:17" hidden="1">
      <c r="A455" s="416"/>
      <c r="B455" s="755"/>
      <c r="C455" s="756" t="s">
        <v>321</v>
      </c>
      <c r="D455" s="757" t="s">
        <v>109</v>
      </c>
      <c r="E455" s="759">
        <f>E452*0.015+E453*0.021</f>
        <v>0.11479379556217104</v>
      </c>
      <c r="F455" s="466">
        <v>90</v>
      </c>
      <c r="G455" s="466">
        <v>0</v>
      </c>
      <c r="H455" s="429"/>
      <c r="I455" s="429"/>
      <c r="J455" s="429"/>
      <c r="K455" s="429"/>
      <c r="L455" s="429"/>
      <c r="M455" s="429"/>
      <c r="N455" s="429"/>
      <c r="O455" s="429"/>
      <c r="P455" s="429"/>
      <c r="Q455" s="429"/>
    </row>
    <row r="456" spans="1:17" hidden="1">
      <c r="A456" s="416"/>
      <c r="B456" s="165"/>
      <c r="C456" s="754" t="s">
        <v>940</v>
      </c>
      <c r="D456" s="462"/>
      <c r="E456" s="752"/>
      <c r="F456" s="753"/>
      <c r="G456" s="415">
        <f>SUM(G451:G455)</f>
        <v>11743.210000000001</v>
      </c>
      <c r="H456" s="165"/>
      <c r="I456" s="165"/>
      <c r="J456" s="165"/>
      <c r="K456" s="165"/>
      <c r="L456" s="165"/>
      <c r="M456" s="165"/>
      <c r="N456" s="165"/>
      <c r="O456" s="165"/>
      <c r="P456" s="165"/>
      <c r="Q456" s="165"/>
    </row>
    <row r="457" spans="1:17" hidden="1">
      <c r="A457" s="416"/>
      <c r="B457" s="755"/>
      <c r="C457" s="756" t="s">
        <v>870</v>
      </c>
      <c r="D457" s="757"/>
      <c r="E457" s="758"/>
      <c r="F457" s="466"/>
      <c r="G457" s="446">
        <f>ROUND(G456/6,2)</f>
        <v>1957.2</v>
      </c>
      <c r="H457" s="429"/>
      <c r="I457" s="758"/>
      <c r="J457" s="758"/>
      <c r="K457" s="758"/>
      <c r="L457" s="429"/>
      <c r="M457" s="758"/>
      <c r="N457" s="429"/>
      <c r="O457" s="758"/>
      <c r="P457" s="429"/>
      <c r="Q457" s="758"/>
    </row>
    <row r="458" spans="1:17" hidden="1">
      <c r="A458" s="416"/>
      <c r="B458" s="755"/>
      <c r="C458" s="756"/>
      <c r="D458" s="757"/>
      <c r="E458" s="758"/>
      <c r="F458" s="466"/>
      <c r="G458" s="446"/>
      <c r="H458" s="429"/>
      <c r="I458" s="758"/>
      <c r="J458" s="758"/>
      <c r="K458" s="758"/>
      <c r="L458" s="429"/>
      <c r="M458" s="758"/>
      <c r="N458" s="429"/>
      <c r="O458" s="758"/>
      <c r="P458" s="429"/>
      <c r="Q458" s="758"/>
    </row>
    <row r="459" spans="1:17" ht="165.75" hidden="1">
      <c r="A459" s="416"/>
      <c r="B459" s="165">
        <v>15</v>
      </c>
      <c r="C459" s="751" t="s">
        <v>1248</v>
      </c>
      <c r="D459" s="462"/>
      <c r="E459" s="752"/>
      <c r="F459" s="753"/>
      <c r="G459" s="447"/>
      <c r="H459" s="165"/>
      <c r="I459" s="165"/>
      <c r="J459" s="165"/>
      <c r="K459" s="165"/>
      <c r="L459" s="165"/>
      <c r="M459" s="165"/>
      <c r="N459" s="165"/>
      <c r="O459" s="165"/>
      <c r="P459" s="165"/>
      <c r="Q459" s="165"/>
    </row>
    <row r="460" spans="1:17" ht="38.25" hidden="1">
      <c r="A460" s="416"/>
      <c r="B460" s="165"/>
      <c r="C460" s="751" t="s">
        <v>1247</v>
      </c>
      <c r="D460" s="462" t="s">
        <v>109</v>
      </c>
      <c r="E460" s="762">
        <f>(PI()*(D432+0.45)*0.45*2)</f>
        <v>5.5134951070500868</v>
      </c>
      <c r="F460" s="753">
        <f>F451</f>
        <v>8504.4699999999993</v>
      </c>
      <c r="G460" s="447">
        <f>+ROUND(E460*F460,2)</f>
        <v>46889.35</v>
      </c>
      <c r="H460" s="165"/>
      <c r="I460" s="165"/>
      <c r="J460" s="165"/>
      <c r="K460" s="165"/>
      <c r="L460" s="165"/>
      <c r="M460" s="165"/>
      <c r="N460" s="165"/>
      <c r="O460" s="165"/>
      <c r="P460" s="165"/>
      <c r="Q460" s="165"/>
    </row>
    <row r="461" spans="1:17" ht="25.5" hidden="1">
      <c r="A461" s="416"/>
      <c r="B461" s="165"/>
      <c r="C461" s="751" t="s">
        <v>764</v>
      </c>
      <c r="D461" s="462" t="s">
        <v>224</v>
      </c>
      <c r="E461" s="762">
        <f>(PI()*(D432+2*0.45)*2)</f>
        <v>15.079644737231007</v>
      </c>
      <c r="F461" s="753">
        <f>F452</f>
        <v>170.45499999999998</v>
      </c>
      <c r="G461" s="447">
        <f>+ROUND(E461*F461,2)</f>
        <v>2570.4</v>
      </c>
      <c r="H461" s="165"/>
      <c r="I461" s="165"/>
      <c r="J461" s="165"/>
      <c r="K461" s="165"/>
      <c r="L461" s="165"/>
      <c r="M461" s="165"/>
      <c r="N461" s="165"/>
      <c r="O461" s="165"/>
      <c r="P461" s="165"/>
      <c r="Q461" s="165"/>
    </row>
    <row r="462" spans="1:17" ht="25.5" hidden="1">
      <c r="A462" s="416"/>
      <c r="B462" s="165"/>
      <c r="C462" s="751" t="s">
        <v>763</v>
      </c>
      <c r="D462" s="462" t="s">
        <v>224</v>
      </c>
      <c r="E462" s="762">
        <f>(PI()*D432*2)</f>
        <v>9.4247779607693793</v>
      </c>
      <c r="F462" s="753">
        <f>F453</f>
        <v>259.48599999999999</v>
      </c>
      <c r="G462" s="447">
        <f>+ROUND(E462*F462,2)</f>
        <v>2445.6</v>
      </c>
      <c r="H462" s="165"/>
      <c r="I462" s="165"/>
      <c r="J462" s="165"/>
      <c r="K462" s="165"/>
      <c r="L462" s="165"/>
      <c r="M462" s="165"/>
      <c r="N462" s="165"/>
      <c r="O462" s="165"/>
      <c r="P462" s="165"/>
      <c r="Q462" s="165"/>
    </row>
    <row r="463" spans="1:17" hidden="1">
      <c r="A463" s="416"/>
      <c r="B463" s="755"/>
      <c r="C463" s="756" t="s">
        <v>319</v>
      </c>
      <c r="D463" s="757"/>
      <c r="E463" s="762">
        <v>1</v>
      </c>
      <c r="F463" s="466"/>
      <c r="G463" s="446"/>
      <c r="H463" s="429"/>
      <c r="I463" s="429"/>
      <c r="J463" s="429"/>
      <c r="K463" s="429"/>
      <c r="L463" s="429"/>
      <c r="M463" s="429"/>
      <c r="N463" s="429"/>
      <c r="O463" s="429"/>
      <c r="P463" s="429"/>
      <c r="Q463" s="429"/>
    </row>
    <row r="464" spans="1:17" hidden="1">
      <c r="A464" s="416"/>
      <c r="B464" s="755"/>
      <c r="C464" s="756" t="s">
        <v>321</v>
      </c>
      <c r="D464" s="757" t="s">
        <v>109</v>
      </c>
      <c r="E464" s="759">
        <f>E461*0.015+E462*0.021</f>
        <v>0.42411500823462212</v>
      </c>
      <c r="F464" s="466">
        <v>90</v>
      </c>
      <c r="G464" s="466">
        <v>0</v>
      </c>
      <c r="H464" s="429"/>
      <c r="I464" s="429"/>
      <c r="J464" s="429"/>
      <c r="K464" s="429"/>
      <c r="L464" s="429"/>
      <c r="M464" s="429"/>
      <c r="N464" s="429"/>
      <c r="O464" s="429"/>
      <c r="P464" s="429"/>
      <c r="Q464" s="429"/>
    </row>
    <row r="465" spans="1:17" hidden="1">
      <c r="A465" s="416"/>
      <c r="B465" s="165"/>
      <c r="C465" s="754" t="s">
        <v>871</v>
      </c>
      <c r="D465" s="462"/>
      <c r="E465" s="752"/>
      <c r="F465" s="753"/>
      <c r="G465" s="415">
        <f>SUM(G460:G464)</f>
        <v>51905.35</v>
      </c>
      <c r="H465" s="165"/>
      <c r="I465" s="165"/>
      <c r="J465" s="165"/>
      <c r="K465" s="165"/>
      <c r="L465" s="165"/>
      <c r="M465" s="165"/>
      <c r="N465" s="165"/>
      <c r="O465" s="165"/>
      <c r="P465" s="165"/>
      <c r="Q465" s="165"/>
    </row>
    <row r="466" spans="1:17" hidden="1">
      <c r="A466" s="416"/>
      <c r="B466" s="755"/>
      <c r="C466" s="756" t="s">
        <v>870</v>
      </c>
      <c r="D466" s="757"/>
      <c r="E466" s="758"/>
      <c r="F466" s="466"/>
      <c r="G466" s="446">
        <f>ROUND(G465*(0.1/2),2)</f>
        <v>2595.27</v>
      </c>
      <c r="H466" s="429"/>
      <c r="I466" s="758"/>
      <c r="J466" s="758"/>
      <c r="K466" s="758"/>
      <c r="L466" s="429"/>
      <c r="M466" s="758"/>
      <c r="N466" s="429"/>
      <c r="O466" s="758"/>
      <c r="P466" s="429"/>
      <c r="Q466" s="758"/>
    </row>
    <row r="467" spans="1:17" hidden="1">
      <c r="A467" s="416"/>
      <c r="B467" s="755"/>
      <c r="C467" s="756"/>
      <c r="D467" s="757"/>
      <c r="E467" s="758"/>
      <c r="F467" s="466"/>
      <c r="G467" s="446"/>
      <c r="H467" s="429"/>
      <c r="I467" s="758"/>
      <c r="J467" s="758"/>
      <c r="K467" s="758"/>
      <c r="L467" s="429"/>
      <c r="M467" s="758"/>
      <c r="N467" s="429"/>
      <c r="O467" s="758"/>
      <c r="P467" s="429"/>
      <c r="Q467" s="758"/>
    </row>
    <row r="468" spans="1:17" hidden="1">
      <c r="A468" s="416"/>
      <c r="B468" s="462"/>
      <c r="C468" s="761"/>
      <c r="D468" s="441"/>
      <c r="E468" s="752"/>
      <c r="F468" s="752"/>
      <c r="G468" s="449"/>
      <c r="H468" s="449"/>
      <c r="I468" s="449"/>
      <c r="J468" s="165"/>
      <c r="K468" s="165"/>
      <c r="L468" s="165"/>
      <c r="M468" s="165"/>
      <c r="N468" s="165"/>
      <c r="O468" s="165"/>
      <c r="P468" s="165"/>
      <c r="Q468" s="165"/>
    </row>
    <row r="469" spans="1:17" ht="76.5" hidden="1">
      <c r="A469" s="441"/>
      <c r="B469" s="712">
        <v>16</v>
      </c>
      <c r="C469" s="751" t="s">
        <v>305</v>
      </c>
      <c r="D469" s="462"/>
      <c r="E469" s="758"/>
      <c r="F469" s="466"/>
      <c r="G469" s="283"/>
      <c r="H469" s="283"/>
      <c r="I469" s="283"/>
      <c r="J469" s="165"/>
      <c r="K469" s="165"/>
      <c r="L469" s="165"/>
      <c r="M469" s="165"/>
      <c r="N469" s="165"/>
      <c r="O469" s="165"/>
      <c r="P469" s="165"/>
      <c r="Q469" s="165"/>
    </row>
    <row r="470" spans="1:17" hidden="1">
      <c r="A470" s="441" t="s">
        <v>512</v>
      </c>
      <c r="B470" s="712"/>
      <c r="C470" s="751" t="s">
        <v>720</v>
      </c>
      <c r="D470" s="462" t="s">
        <v>226</v>
      </c>
      <c r="E470" s="758">
        <v>1</v>
      </c>
      <c r="F470" s="466">
        <v>2772</v>
      </c>
      <c r="G470" s="284">
        <f>F470*E470</f>
        <v>2772</v>
      </c>
      <c r="H470" s="284"/>
      <c r="I470" s="284"/>
      <c r="J470" s="165"/>
      <c r="K470" s="165"/>
      <c r="L470" s="165"/>
      <c r="M470" s="165"/>
    </row>
    <row r="471" spans="1:17" hidden="1">
      <c r="A471" s="763"/>
      <c r="B471" s="712"/>
      <c r="C471" s="464" t="s">
        <v>1</v>
      </c>
      <c r="D471" s="461"/>
      <c r="E471" s="758"/>
      <c r="F471" s="466" t="s">
        <v>154</v>
      </c>
      <c r="G471" s="283">
        <f>SUM(G470:G470)</f>
        <v>2772</v>
      </c>
      <c r="H471" s="283"/>
      <c r="I471" s="283"/>
      <c r="J471" s="165"/>
      <c r="K471" s="165"/>
      <c r="L471" s="165"/>
      <c r="M471" s="165"/>
    </row>
    <row r="472" spans="1:17" hidden="1">
      <c r="A472" s="441" t="s">
        <v>512</v>
      </c>
      <c r="B472" s="712"/>
      <c r="C472" s="751" t="s">
        <v>415</v>
      </c>
      <c r="D472" s="462" t="s">
        <v>226</v>
      </c>
      <c r="E472" s="758">
        <v>1</v>
      </c>
      <c r="F472" s="466">
        <v>1802</v>
      </c>
      <c r="G472" s="284">
        <f>F472*E472</f>
        <v>1802</v>
      </c>
      <c r="H472" s="284"/>
      <c r="I472" s="284"/>
      <c r="J472" s="165"/>
      <c r="K472" s="165"/>
      <c r="L472" s="165"/>
      <c r="M472" s="165"/>
    </row>
    <row r="473" spans="1:17" hidden="1">
      <c r="A473" s="763"/>
      <c r="B473" s="712"/>
      <c r="C473" s="464" t="s">
        <v>0</v>
      </c>
      <c r="D473" s="461"/>
      <c r="E473" s="758">
        <f>G472</f>
        <v>1802</v>
      </c>
      <c r="F473" s="466" t="e">
        <f>#REF!</f>
        <v>#REF!</v>
      </c>
      <c r="G473" s="284" t="e">
        <f>ROUND(F473*E473,2)</f>
        <v>#REF!</v>
      </c>
      <c r="H473" s="284"/>
      <c r="I473" s="284"/>
      <c r="J473" s="165"/>
      <c r="K473" s="165"/>
      <c r="L473" s="165"/>
      <c r="M473" s="165"/>
    </row>
    <row r="474" spans="1:17" hidden="1">
      <c r="A474" s="763"/>
      <c r="B474" s="712"/>
      <c r="C474" s="464" t="s">
        <v>1</v>
      </c>
      <c r="D474" s="461"/>
      <c r="E474" s="758"/>
      <c r="F474" s="466" t="s">
        <v>154</v>
      </c>
      <c r="G474" s="283" t="e">
        <f>SUM(G472:G473)</f>
        <v>#REF!</v>
      </c>
      <c r="H474" s="283"/>
      <c r="I474" s="283"/>
      <c r="J474" s="165"/>
      <c r="K474" s="165"/>
      <c r="L474" s="165"/>
      <c r="M474" s="165"/>
    </row>
    <row r="475" spans="1:17" hidden="1">
      <c r="A475" s="441" t="s">
        <v>512</v>
      </c>
      <c r="B475" s="712"/>
      <c r="C475" s="751" t="s">
        <v>306</v>
      </c>
      <c r="D475" s="462" t="s">
        <v>226</v>
      </c>
      <c r="E475" s="758">
        <v>1</v>
      </c>
      <c r="F475" s="466">
        <v>2297</v>
      </c>
      <c r="G475" s="284">
        <f>F475*E475</f>
        <v>2297</v>
      </c>
      <c r="H475" s="284"/>
      <c r="I475" s="284"/>
      <c r="J475" s="165"/>
      <c r="K475" s="165"/>
      <c r="L475" s="165"/>
      <c r="M475" s="165"/>
    </row>
    <row r="476" spans="1:17" hidden="1">
      <c r="A476" s="763"/>
      <c r="B476" s="712"/>
      <c r="C476" s="464" t="s">
        <v>0</v>
      </c>
      <c r="D476" s="461"/>
      <c r="E476" s="758">
        <f>G475</f>
        <v>2297</v>
      </c>
      <c r="F476" s="466" t="e">
        <f>F473</f>
        <v>#REF!</v>
      </c>
      <c r="G476" s="284" t="e">
        <f>ROUND(F476*E476,2)</f>
        <v>#REF!</v>
      </c>
      <c r="H476" s="284"/>
      <c r="I476" s="284"/>
      <c r="J476" s="165"/>
      <c r="K476" s="165"/>
      <c r="L476" s="165"/>
      <c r="M476" s="165"/>
    </row>
    <row r="477" spans="1:17" hidden="1">
      <c r="A477" s="763"/>
      <c r="B477" s="712"/>
      <c r="C477" s="464" t="s">
        <v>1</v>
      </c>
      <c r="D477" s="461"/>
      <c r="E477" s="758"/>
      <c r="F477" s="466" t="s">
        <v>154</v>
      </c>
      <c r="G477" s="283" t="e">
        <f>SUM(G475:G476)</f>
        <v>#REF!</v>
      </c>
      <c r="H477" s="764"/>
      <c r="I477" s="764"/>
    </row>
    <row r="478" spans="1:17" hidden="1">
      <c r="A478" s="142"/>
      <c r="B478" s="138"/>
      <c r="C478" s="765"/>
      <c r="D478" s="208"/>
      <c r="E478" s="766"/>
      <c r="F478" s="766"/>
      <c r="G478" s="764"/>
      <c r="H478" s="764"/>
      <c r="I478" s="764"/>
    </row>
    <row r="479" spans="1:17" hidden="1">
      <c r="A479" s="142"/>
      <c r="B479" s="138"/>
      <c r="C479" s="765"/>
      <c r="D479" s="208"/>
      <c r="E479" s="766"/>
      <c r="F479" s="766"/>
      <c r="G479" s="764"/>
      <c r="H479" s="764"/>
      <c r="I479" s="764"/>
    </row>
    <row r="480" spans="1:17">
      <c r="A480" s="767"/>
      <c r="C480" s="464"/>
      <c r="E480" s="768"/>
      <c r="G480" s="769"/>
    </row>
    <row r="481" spans="1:11">
      <c r="A481" s="767"/>
      <c r="C481" s="464"/>
      <c r="D481" s="464"/>
      <c r="E481" s="770"/>
      <c r="F481" s="464"/>
      <c r="G481" s="464"/>
      <c r="H481" s="464"/>
      <c r="I481" s="464"/>
      <c r="K481" s="464"/>
    </row>
    <row r="482" spans="1:11" s="1079" customFormat="1" ht="12.75" customHeight="1">
      <c r="A482" s="767"/>
      <c r="B482" s="1076"/>
      <c r="C482" s="1077" t="str">
        <f>'Spec Report'!B30</f>
        <v>Asst., Engineer</v>
      </c>
      <c r="D482" s="1077"/>
      <c r="E482" s="441" t="str">
        <f>'Spec Report'!D30</f>
        <v>Dy .Executive.Engineer</v>
      </c>
      <c r="F482" s="1078"/>
      <c r="G482" s="1077"/>
      <c r="H482" s="1077"/>
      <c r="I482" s="1077"/>
      <c r="J482" s="441" t="str">
        <f>'Spec Report'!E30</f>
        <v>Executive Engineer</v>
      </c>
      <c r="K482" s="1077"/>
    </row>
    <row r="483" spans="1:11" s="1079" customFormat="1" ht="12.75" customHeight="1">
      <c r="A483" s="767"/>
      <c r="B483" s="1076"/>
      <c r="C483" s="1077" t="str">
        <f>'Spec Report'!B31</f>
        <v>PR SD Amangal</v>
      </c>
      <c r="D483" s="209"/>
      <c r="E483" s="441" t="str">
        <f>'Spec Report'!D31</f>
        <v>PR SD  Amangal</v>
      </c>
      <c r="F483" s="1078"/>
      <c r="G483" s="1077"/>
      <c r="H483" s="1077"/>
      <c r="I483" s="1077"/>
      <c r="J483" s="441" t="str">
        <f>'Spec Report'!E31</f>
        <v>PR Div Ibrahimpatnam</v>
      </c>
      <c r="K483" s="1077"/>
    </row>
    <row r="484" spans="1:11">
      <c r="A484" s="767"/>
      <c r="C484" s="464"/>
      <c r="E484" s="768"/>
      <c r="G484" s="769"/>
    </row>
    <row r="485" spans="1:11">
      <c r="A485" s="767"/>
      <c r="C485" s="464"/>
      <c r="E485" s="768"/>
      <c r="G485" s="769"/>
    </row>
    <row r="486" spans="1:11">
      <c r="A486" s="767"/>
      <c r="C486" s="461"/>
      <c r="E486" s="768"/>
      <c r="G486" s="769"/>
    </row>
    <row r="487" spans="1:11">
      <c r="A487" s="767"/>
      <c r="C487" s="461"/>
      <c r="E487" s="768"/>
      <c r="G487" s="769"/>
    </row>
  </sheetData>
  <mergeCells count="122">
    <mergeCell ref="A2:Q2"/>
    <mergeCell ref="A1:U1"/>
    <mergeCell ref="N154:O154"/>
    <mergeCell ref="P154:Q154"/>
    <mergeCell ref="H48:I48"/>
    <mergeCell ref="J48:K48"/>
    <mergeCell ref="L48:M48"/>
    <mergeCell ref="H154:I154"/>
    <mergeCell ref="J154:K154"/>
    <mergeCell ref="L154:M154"/>
    <mergeCell ref="R48:S48"/>
    <mergeCell ref="T48:U48"/>
    <mergeCell ref="N4:O4"/>
    <mergeCell ref="P4:Q4"/>
    <mergeCell ref="N48:O48"/>
    <mergeCell ref="P48:Q48"/>
    <mergeCell ref="H4:I4"/>
    <mergeCell ref="J4:K4"/>
    <mergeCell ref="L4:M4"/>
    <mergeCell ref="A3:G3"/>
    <mergeCell ref="R154:S154"/>
    <mergeCell ref="T154:U154"/>
    <mergeCell ref="R66:S66"/>
    <mergeCell ref="T66:U66"/>
    <mergeCell ref="P203:Q203"/>
    <mergeCell ref="H184:I184"/>
    <mergeCell ref="J184:K184"/>
    <mergeCell ref="L184:M184"/>
    <mergeCell ref="N184:O184"/>
    <mergeCell ref="P184:Q184"/>
    <mergeCell ref="H66:I66"/>
    <mergeCell ref="J66:K66"/>
    <mergeCell ref="L66:M66"/>
    <mergeCell ref="N66:O66"/>
    <mergeCell ref="P66:Q66"/>
    <mergeCell ref="H203:I203"/>
    <mergeCell ref="J203:K203"/>
    <mergeCell ref="L203:M203"/>
    <mergeCell ref="N203:O203"/>
    <mergeCell ref="H84:I84"/>
    <mergeCell ref="J84:K84"/>
    <mergeCell ref="L84:M84"/>
    <mergeCell ref="N84:O84"/>
    <mergeCell ref="P84:Q84"/>
    <mergeCell ref="J242:K242"/>
    <mergeCell ref="L242:M242"/>
    <mergeCell ref="N242:O242"/>
    <mergeCell ref="P242:Q242"/>
    <mergeCell ref="H223:I223"/>
    <mergeCell ref="J223:K223"/>
    <mergeCell ref="L223:M223"/>
    <mergeCell ref="N223:O223"/>
    <mergeCell ref="P223:Q223"/>
    <mergeCell ref="H370:I370"/>
    <mergeCell ref="J370:K370"/>
    <mergeCell ref="L370:M370"/>
    <mergeCell ref="N370:O370"/>
    <mergeCell ref="P370:Q370"/>
    <mergeCell ref="R370:S370"/>
    <mergeCell ref="T370:U370"/>
    <mergeCell ref="R282:S282"/>
    <mergeCell ref="T282:U282"/>
    <mergeCell ref="H329:I329"/>
    <mergeCell ref="J329:K329"/>
    <mergeCell ref="L329:M329"/>
    <mergeCell ref="N329:O329"/>
    <mergeCell ref="P329:Q329"/>
    <mergeCell ref="R329:S329"/>
    <mergeCell ref="T329:U329"/>
    <mergeCell ref="H282:I282"/>
    <mergeCell ref="J282:K282"/>
    <mergeCell ref="L282:M282"/>
    <mergeCell ref="N282:O282"/>
    <mergeCell ref="P282:Q282"/>
    <mergeCell ref="H350:I350"/>
    <mergeCell ref="J350:K350"/>
    <mergeCell ref="L350:M350"/>
    <mergeCell ref="R431:S431"/>
    <mergeCell ref="T431:U431"/>
    <mergeCell ref="H431:I431"/>
    <mergeCell ref="J431:K431"/>
    <mergeCell ref="L431:M431"/>
    <mergeCell ref="N431:O431"/>
    <mergeCell ref="P431:Q431"/>
    <mergeCell ref="R390:S390"/>
    <mergeCell ref="T390:U390"/>
    <mergeCell ref="H410:I410"/>
    <mergeCell ref="J410:K410"/>
    <mergeCell ref="L410:M410"/>
    <mergeCell ref="N410:O410"/>
    <mergeCell ref="P410:Q410"/>
    <mergeCell ref="R410:S410"/>
    <mergeCell ref="T410:U410"/>
    <mergeCell ref="H390:I390"/>
    <mergeCell ref="J390:K390"/>
    <mergeCell ref="L390:M390"/>
    <mergeCell ref="N390:O390"/>
    <mergeCell ref="P390:Q390"/>
    <mergeCell ref="N350:O350"/>
    <mergeCell ref="P350:Q350"/>
    <mergeCell ref="R350:S350"/>
    <mergeCell ref="T350:U350"/>
    <mergeCell ref="R84:S84"/>
    <mergeCell ref="T84:U84"/>
    <mergeCell ref="H133:I133"/>
    <mergeCell ref="J133:K133"/>
    <mergeCell ref="L133:M133"/>
    <mergeCell ref="N133:O133"/>
    <mergeCell ref="P133:Q133"/>
    <mergeCell ref="R133:S133"/>
    <mergeCell ref="H262:I262"/>
    <mergeCell ref="J262:K262"/>
    <mergeCell ref="L262:M262"/>
    <mergeCell ref="N262:O262"/>
    <mergeCell ref="P262:Q262"/>
    <mergeCell ref="R262:S262"/>
    <mergeCell ref="T262:U262"/>
    <mergeCell ref="R223:S223"/>
    <mergeCell ref="T223:U223"/>
    <mergeCell ref="R242:S242"/>
    <mergeCell ref="T242:U242"/>
    <mergeCell ref="H242:I242"/>
  </mergeCells>
  <printOptions horizontalCentered="1"/>
  <pageMargins left="0.43307086614173229" right="0.43307086614173229" top="0.47244094488188981" bottom="0.47244094488188981" header="0.23622047244094491" footer="0.15748031496062992"/>
  <pageSetup paperSize="9" scale="83" fitToHeight="20" orientation="landscape" r:id="rId1"/>
  <headerFooter alignWithMargins="0">
    <oddHeader>&amp;C&amp;P</oddHeader>
    <oddFooter>&amp;CPage &amp;P</oddFooter>
  </headerFooter>
  <rowBreaks count="2" manualBreakCount="2">
    <brk id="182" max="16" man="1"/>
    <brk id="409" max="16383" man="1"/>
  </rowBreaks>
  <legacyDrawing r:id="rId2"/>
</worksheet>
</file>

<file path=xl/worksheets/sheet17.xml><?xml version="1.0" encoding="utf-8"?>
<worksheet xmlns="http://schemas.openxmlformats.org/spreadsheetml/2006/main" xmlns:r="http://schemas.openxmlformats.org/officeDocument/2006/relationships">
  <dimension ref="A1:O182"/>
  <sheetViews>
    <sheetView view="pageBreakPreview" zoomScaleNormal="112" zoomScaleSheetLayoutView="100" workbookViewId="0">
      <pane ySplit="5" topLeftCell="A6" activePane="bottomLeft" state="frozen"/>
      <selection pane="bottomLeft" activeCell="G134" sqref="G134"/>
    </sheetView>
  </sheetViews>
  <sheetFormatPr defaultColWidth="13.85546875" defaultRowHeight="12.75"/>
  <cols>
    <col min="1" max="1" width="12.85546875" style="441" customWidth="1"/>
    <col min="2" max="2" width="5.28515625" style="411" customWidth="1"/>
    <col min="3" max="3" width="42.5703125" style="464" customWidth="1"/>
    <col min="4" max="4" width="5.28515625" style="461" customWidth="1"/>
    <col min="5" max="5" width="10.5703125" style="462" customWidth="1"/>
    <col min="6" max="6" width="9.140625" style="284" customWidth="1"/>
    <col min="7" max="7" width="11.7109375" style="284" customWidth="1"/>
    <col min="8" max="8" width="7" style="284" hidden="1" customWidth="1"/>
    <col min="9" max="9" width="7.28515625" style="284" customWidth="1"/>
    <col min="10" max="10" width="5.42578125" style="165" hidden="1" customWidth="1"/>
    <col min="11" max="11" width="6.42578125" style="165" customWidth="1"/>
    <col min="12" max="12" width="6.5703125" style="165" hidden="1" customWidth="1"/>
    <col min="13" max="13" width="8.5703125" style="165" customWidth="1"/>
    <col min="14" max="16384" width="13.85546875" style="165"/>
  </cols>
  <sheetData>
    <row r="1" spans="1:13" ht="12.75" customHeight="1">
      <c r="A1" s="1616" t="s">
        <v>523</v>
      </c>
      <c r="B1" s="1616"/>
      <c r="C1" s="1616"/>
      <c r="D1" s="1616"/>
      <c r="E1" s="1616"/>
      <c r="F1" s="1616"/>
      <c r="G1" s="1616"/>
      <c r="H1" s="411"/>
      <c r="I1" s="411"/>
    </row>
    <row r="2" spans="1:13" ht="36" customHeight="1">
      <c r="A2" s="1617" t="str">
        <f>Lead!A1</f>
        <v>Providing UGD system in Kokapet</v>
      </c>
      <c r="B2" s="1617"/>
      <c r="C2" s="1617"/>
      <c r="D2" s="1617"/>
      <c r="E2" s="1617"/>
      <c r="F2" s="1617"/>
      <c r="G2" s="1617"/>
      <c r="H2" s="412"/>
      <c r="I2" s="412"/>
    </row>
    <row r="3" spans="1:13" ht="18" customHeight="1">
      <c r="A3" s="1618" t="s">
        <v>642</v>
      </c>
      <c r="B3" s="1618"/>
      <c r="C3" s="1618"/>
      <c r="D3" s="1618"/>
      <c r="E3" s="1618"/>
      <c r="F3" s="1618"/>
      <c r="G3" s="1618"/>
      <c r="H3" s="413"/>
      <c r="I3" s="413"/>
    </row>
    <row r="4" spans="1:13" s="416" customFormat="1" ht="22.5" customHeight="1">
      <c r="A4" s="390" t="s">
        <v>45</v>
      </c>
      <c r="B4" s="381" t="s">
        <v>46</v>
      </c>
      <c r="C4" s="390" t="s">
        <v>100</v>
      </c>
      <c r="D4" s="390" t="s">
        <v>9</v>
      </c>
      <c r="E4" s="382" t="s">
        <v>97</v>
      </c>
      <c r="F4" s="414" t="s">
        <v>47</v>
      </c>
      <c r="G4" s="414" t="s">
        <v>48</v>
      </c>
      <c r="H4" s="415"/>
      <c r="I4" s="415"/>
    </row>
    <row r="5" spans="1:13" s="154" customFormat="1" ht="11.25" customHeight="1">
      <c r="A5" s="383"/>
      <c r="B5" s="384">
        <v>1</v>
      </c>
      <c r="C5" s="384">
        <v>2</v>
      </c>
      <c r="D5" s="384">
        <v>3</v>
      </c>
      <c r="E5" s="384">
        <v>4</v>
      </c>
      <c r="F5" s="417">
        <v>5</v>
      </c>
      <c r="G5" s="417">
        <v>6</v>
      </c>
      <c r="H5" s="418"/>
      <c r="I5" s="418"/>
    </row>
    <row r="6" spans="1:13" ht="167.25" customHeight="1">
      <c r="A6" s="419"/>
      <c r="B6" s="164">
        <v>1</v>
      </c>
      <c r="C6" s="173" t="s">
        <v>170</v>
      </c>
      <c r="D6" s="174"/>
      <c r="E6" s="420" t="s">
        <v>527</v>
      </c>
      <c r="F6" s="115"/>
      <c r="G6" s="421"/>
      <c r="H6" s="1613" t="s">
        <v>446</v>
      </c>
      <c r="I6" s="1614"/>
      <c r="J6" s="1613" t="s">
        <v>440</v>
      </c>
      <c r="K6" s="1614"/>
      <c r="L6" s="1613" t="s">
        <v>439</v>
      </c>
      <c r="M6" s="1614"/>
    </row>
    <row r="7" spans="1:13" ht="18" customHeight="1">
      <c r="A7" s="419"/>
      <c r="B7" s="422"/>
      <c r="C7" s="173" t="s">
        <v>203</v>
      </c>
      <c r="D7" s="174" t="s">
        <v>109</v>
      </c>
      <c r="E7" s="420">
        <v>0.14299999999999999</v>
      </c>
      <c r="F7" s="115">
        <f>'Datas P7'!G226</f>
        <v>5383.2900000000009</v>
      </c>
      <c r="G7" s="423">
        <f>+ROUND(E7*F7,2)</f>
        <v>769.81</v>
      </c>
      <c r="H7" s="165"/>
      <c r="I7" s="165">
        <v>0.14000000000000001</v>
      </c>
      <c r="K7" s="165">
        <v>0.14000000000000001</v>
      </c>
      <c r="M7" s="165">
        <v>0.14000000000000001</v>
      </c>
    </row>
    <row r="8" spans="1:13" ht="51.75" customHeight="1">
      <c r="A8" s="419"/>
      <c r="B8" s="203"/>
      <c r="C8" s="424" t="s">
        <v>329</v>
      </c>
      <c r="D8" s="174" t="s">
        <v>109</v>
      </c>
      <c r="E8" s="420">
        <f>I8</f>
        <v>0.19400000000000001</v>
      </c>
      <c r="F8" s="115">
        <f>'Datas P7'!G287</f>
        <v>8504.4699999999993</v>
      </c>
      <c r="G8" s="423">
        <f>+ROUND(E8*F8,2)</f>
        <v>1649.87</v>
      </c>
      <c r="H8" s="465">
        <f>ROUND(PI()/4*0.23*0.23*0.23*2,3)</f>
        <v>1.9E-2</v>
      </c>
      <c r="I8" s="465">
        <f>0.213-H8</f>
        <v>0.19400000000000001</v>
      </c>
      <c r="J8" s="465">
        <f>ROUND(PI()/4*0.28*0.28*0.23*2,3)</f>
        <v>2.8000000000000001E-2</v>
      </c>
      <c r="K8" s="465">
        <f>0.213-J8</f>
        <v>0.185</v>
      </c>
      <c r="L8" s="465">
        <f>ROUND(PI()/4*0.33*0.33*0.23*2,3)</f>
        <v>3.9E-2</v>
      </c>
      <c r="M8" s="465">
        <f>0.213-L8</f>
        <v>0.17399999999999999</v>
      </c>
    </row>
    <row r="9" spans="1:13" ht="39" customHeight="1">
      <c r="A9" s="419"/>
      <c r="B9" s="422"/>
      <c r="C9" s="424" t="s">
        <v>330</v>
      </c>
      <c r="D9" s="174" t="s">
        <v>109</v>
      </c>
      <c r="E9" s="420">
        <f>I9</f>
        <v>0.28999999999999998</v>
      </c>
      <c r="F9" s="115">
        <f>'Datas P7'!G287</f>
        <v>8504.4699999999993</v>
      </c>
      <c r="G9" s="423">
        <f>+ROUND(E9*F9,2)</f>
        <v>2466.3000000000002</v>
      </c>
      <c r="H9" s="165"/>
      <c r="I9" s="165">
        <v>0.28999999999999998</v>
      </c>
      <c r="K9" s="165">
        <v>0.28999999999999998</v>
      </c>
      <c r="M9" s="165">
        <v>0.28999999999999998</v>
      </c>
    </row>
    <row r="10" spans="1:13" ht="54.75" customHeight="1">
      <c r="A10" s="419"/>
      <c r="B10" s="422"/>
      <c r="C10" s="424" t="s">
        <v>447</v>
      </c>
      <c r="D10" s="174" t="s">
        <v>326</v>
      </c>
      <c r="E10" s="420">
        <f>I10</f>
        <v>2.5859999999999999</v>
      </c>
      <c r="F10" s="115">
        <f>'Datas P7'!G298</f>
        <v>170.45499999999998</v>
      </c>
      <c r="G10" s="423">
        <f>+ROUND(E10*F10/10,2)</f>
        <v>44.08</v>
      </c>
      <c r="H10" s="165">
        <f>ROUND(PI()/4*0.23*0.23*2,2)</f>
        <v>0.08</v>
      </c>
      <c r="I10" s="165">
        <f>1.139+1.53-0.083</f>
        <v>2.5859999999999999</v>
      </c>
      <c r="J10" s="165">
        <f>ROUND(PI()/4*0.28*0.28*2,2)</f>
        <v>0.12</v>
      </c>
      <c r="K10" s="165">
        <f>1.139+1.53-0.12</f>
        <v>2.5489999999999999</v>
      </c>
      <c r="L10" s="165">
        <f>ROUND(PI()/4*0.33^2*2,2)</f>
        <v>0.17</v>
      </c>
      <c r="M10" s="165">
        <f>1.139+1.53-0.17</f>
        <v>2.4990000000000001</v>
      </c>
    </row>
    <row r="11" spans="1:13" ht="55.5" customHeight="1">
      <c r="A11" s="419"/>
      <c r="B11" s="422"/>
      <c r="C11" s="424" t="s">
        <v>413</v>
      </c>
      <c r="D11" s="174" t="s">
        <v>326</v>
      </c>
      <c r="E11" s="420">
        <f>I11</f>
        <v>1.6289999999999998</v>
      </c>
      <c r="F11" s="115">
        <f>'Datas P7'!G308</f>
        <v>2594.8599999999997</v>
      </c>
      <c r="G11" s="423">
        <f>+ROUND(E11*F11/10,2)</f>
        <v>422.7</v>
      </c>
      <c r="H11" s="165">
        <f>ROUND(PI()/4*0.2*0.2*2,3)</f>
        <v>6.3E-2</v>
      </c>
      <c r="I11" s="165">
        <f>0.707+1.02-0.098</f>
        <v>1.6289999999999998</v>
      </c>
      <c r="J11" s="165">
        <f>ROUND(PI()/4*0.25*0.25*2,3)</f>
        <v>9.8000000000000004E-2</v>
      </c>
      <c r="K11" s="165">
        <f>0.707+1.02-0.098</f>
        <v>1.6289999999999998</v>
      </c>
      <c r="L11" s="165">
        <f>ROUND(PI()/4*0.3^2,3)</f>
        <v>7.0999999999999994E-2</v>
      </c>
      <c r="M11" s="165">
        <f>0.707+1.02-0.071</f>
        <v>1.6559999999999999</v>
      </c>
    </row>
    <row r="12" spans="1:13" ht="54.75" customHeight="1">
      <c r="A12" s="419"/>
      <c r="B12" s="422"/>
      <c r="C12" s="203" t="s">
        <v>332</v>
      </c>
      <c r="D12" s="174" t="s">
        <v>109</v>
      </c>
      <c r="E12" s="420">
        <f>I12</f>
        <v>9.6000000000000016E-2</v>
      </c>
      <c r="F12" s="115">
        <f>'Datas P7'!G258</f>
        <v>6018.18</v>
      </c>
      <c r="G12" s="423">
        <f>+ROUND(E12*F12,2)</f>
        <v>577.75</v>
      </c>
      <c r="H12" s="165">
        <f>ROUND(0.75*0.25*0.23,3)</f>
        <v>4.2999999999999997E-2</v>
      </c>
      <c r="I12" s="165">
        <f>0.101+0.038-0.043</f>
        <v>9.6000000000000016E-2</v>
      </c>
      <c r="J12" s="165">
        <f>ROUND(0.75*0.25*0.23,3)</f>
        <v>4.2999999999999997E-2</v>
      </c>
      <c r="K12" s="165">
        <f>0.101+0.038-0.043</f>
        <v>9.6000000000000016E-2</v>
      </c>
      <c r="L12" s="165">
        <f>ROUND(0.75*0.3*0.23,3)</f>
        <v>5.1999999999999998E-2</v>
      </c>
      <c r="M12" s="165">
        <f>0.101+0.038-0.052</f>
        <v>8.7000000000000022E-2</v>
      </c>
    </row>
    <row r="13" spans="1:13">
      <c r="A13" s="419" t="s">
        <v>414</v>
      </c>
      <c r="B13" s="422"/>
      <c r="C13" s="203" t="s">
        <v>395</v>
      </c>
      <c r="D13" s="174" t="s">
        <v>55</v>
      </c>
      <c r="E13" s="420">
        <v>0</v>
      </c>
      <c r="F13" s="115">
        <v>66</v>
      </c>
      <c r="G13" s="423">
        <f>+ROUND(E13*F13,2)</f>
        <v>0</v>
      </c>
      <c r="H13" s="165">
        <v>65</v>
      </c>
      <c r="I13" s="165"/>
    </row>
    <row r="14" spans="1:13">
      <c r="A14" s="184"/>
      <c r="B14" s="425"/>
      <c r="C14" s="426" t="s">
        <v>106</v>
      </c>
      <c r="D14" s="174" t="s">
        <v>226</v>
      </c>
      <c r="E14" s="420"/>
      <c r="F14" s="115"/>
      <c r="G14" s="421">
        <f>SUM(G7:G13)</f>
        <v>5930.5099999999993</v>
      </c>
      <c r="H14" s="165"/>
      <c r="I14" s="165"/>
    </row>
    <row r="15" spans="1:13" s="429" customFormat="1">
      <c r="A15" s="427"/>
      <c r="B15" s="152"/>
      <c r="C15" s="159" t="s">
        <v>319</v>
      </c>
      <c r="D15" s="167"/>
      <c r="E15" s="127"/>
      <c r="F15" s="98"/>
      <c r="G15" s="428"/>
    </row>
    <row r="16" spans="1:13" s="429" customFormat="1">
      <c r="A16" s="427"/>
      <c r="B16" s="152"/>
      <c r="C16" s="158" t="s">
        <v>320</v>
      </c>
      <c r="D16" s="167" t="s">
        <v>109</v>
      </c>
      <c r="E16" s="431">
        <f>ROUND(E7*0.9+E12*0.9,2)</f>
        <v>0.22</v>
      </c>
      <c r="F16" s="98">
        <f>Lead!T17</f>
        <v>75</v>
      </c>
      <c r="G16" s="99">
        <f>ROUND(F16*E16,2)</f>
        <v>16.5</v>
      </c>
      <c r="H16" s="431"/>
      <c r="I16" s="431">
        <f>ROUND(I7*0.9+I12*0.9,2)</f>
        <v>0.21</v>
      </c>
      <c r="J16" s="431"/>
      <c r="K16" s="431">
        <f>ROUND(K7*0.9+K12*0.9,2)</f>
        <v>0.21</v>
      </c>
      <c r="M16" s="431">
        <f>ROUND(M7*0.9+M12*0.9,2)</f>
        <v>0.2</v>
      </c>
    </row>
    <row r="17" spans="1:13" s="429" customFormat="1">
      <c r="A17" s="427"/>
      <c r="B17" s="152"/>
      <c r="C17" s="158" t="s">
        <v>321</v>
      </c>
      <c r="D17" s="167" t="s">
        <v>109</v>
      </c>
      <c r="E17" s="431">
        <f>ROUND((E8+E9)*0.2+(E10*0.015+E11*0.021)+(E7+E12)*0.45,2)</f>
        <v>0.28000000000000003</v>
      </c>
      <c r="F17" s="98">
        <f>Lead!T10</f>
        <v>90</v>
      </c>
      <c r="G17" s="99">
        <f>ROUND(F17*E17,2)</f>
        <v>25.2</v>
      </c>
      <c r="H17" s="431"/>
      <c r="I17" s="431">
        <f>ROUND((I8+I9)*0.2+(I10*0.015+I11*0.021)+(I7+I12)*0.45,2)</f>
        <v>0.28000000000000003</v>
      </c>
      <c r="J17" s="431"/>
      <c r="K17" s="431">
        <f>ROUND((K8+K9)*0.2+(K10*0.015+K11*0.021)+(K7+K12)*0.45,2)</f>
        <v>0.27</v>
      </c>
      <c r="M17" s="431">
        <f>ROUND((M8+M9)*0.2+(M10*0.015+M11*0.021)+(M7+M12)*0.45,2)</f>
        <v>0.27</v>
      </c>
    </row>
    <row r="18" spans="1:13" s="429" customFormat="1">
      <c r="A18" s="427"/>
      <c r="B18" s="152"/>
      <c r="C18" s="158" t="s">
        <v>322</v>
      </c>
      <c r="D18" s="167"/>
      <c r="E18" s="127">
        <f>ROUND((E8+E9)*512,2)</f>
        <v>247.81</v>
      </c>
      <c r="F18" s="98">
        <f>Lead!$O$15</f>
        <v>0</v>
      </c>
      <c r="G18" s="99">
        <f>ROUND(F18*E18/1000,2)</f>
        <v>0</v>
      </c>
      <c r="H18" s="127"/>
      <c r="I18" s="127">
        <f>ROUND((I8+I9)*512,2)</f>
        <v>247.81</v>
      </c>
      <c r="J18" s="127"/>
      <c r="K18" s="127">
        <f>ROUND((K8+K9)*512,2)</f>
        <v>243.2</v>
      </c>
      <c r="M18" s="127">
        <f>ROUND((M8+M9)*512,2)</f>
        <v>237.57</v>
      </c>
    </row>
    <row r="19" spans="1:13" s="429" customFormat="1">
      <c r="A19" s="427"/>
      <c r="B19" s="152"/>
      <c r="C19" s="159" t="s">
        <v>273</v>
      </c>
      <c r="D19" s="167"/>
      <c r="E19" s="127"/>
      <c r="F19" s="98" t="s">
        <v>154</v>
      </c>
      <c r="G19" s="428">
        <f>SUM(G14:G18)</f>
        <v>5972.2099999999991</v>
      </c>
      <c r="H19" s="446"/>
      <c r="I19" s="446"/>
    </row>
    <row r="20" spans="1:13" ht="156.75" customHeight="1">
      <c r="A20" s="419"/>
      <c r="B20" s="164" t="s">
        <v>416</v>
      </c>
      <c r="C20" s="173" t="s">
        <v>323</v>
      </c>
      <c r="D20" s="174"/>
      <c r="E20" s="420"/>
      <c r="F20" s="115"/>
      <c r="G20" s="423"/>
      <c r="H20" s="447"/>
      <c r="I20" s="447"/>
    </row>
    <row r="21" spans="1:13" ht="25.5">
      <c r="A21" s="419"/>
      <c r="B21" s="430"/>
      <c r="C21" s="173" t="s">
        <v>333</v>
      </c>
      <c r="D21" s="174" t="s">
        <v>109</v>
      </c>
      <c r="E21" s="420">
        <v>7.0999999999999994E-2</v>
      </c>
      <c r="F21" s="115">
        <f>'Datas P7'!G287</f>
        <v>8504.4699999999993</v>
      </c>
      <c r="G21" s="423">
        <f>+ROUND(E21*F21,2)</f>
        <v>603.82000000000005</v>
      </c>
      <c r="H21" s="447"/>
      <c r="I21" s="447"/>
    </row>
    <row r="22" spans="1:13" ht="25.5">
      <c r="A22" s="419"/>
      <c r="B22" s="430"/>
      <c r="C22" s="173" t="s">
        <v>204</v>
      </c>
      <c r="D22" s="174" t="s">
        <v>326</v>
      </c>
      <c r="E22" s="420">
        <v>0.38</v>
      </c>
      <c r="F22" s="115">
        <f>'Datas P7'!G298</f>
        <v>170.45499999999998</v>
      </c>
      <c r="G22" s="423">
        <f>+ROUND(E22*F22/10,2)</f>
        <v>6.48</v>
      </c>
      <c r="H22" s="447"/>
      <c r="I22" s="447"/>
    </row>
    <row r="23" spans="1:13" ht="25.5">
      <c r="A23" s="419"/>
      <c r="B23" s="430"/>
      <c r="C23" s="173" t="s">
        <v>205</v>
      </c>
      <c r="D23" s="174" t="s">
        <v>326</v>
      </c>
      <c r="E23" s="420">
        <v>0.23599999999999999</v>
      </c>
      <c r="F23" s="115">
        <f>'Datas P7'!G308</f>
        <v>2594.8599999999997</v>
      </c>
      <c r="G23" s="423">
        <f>+ROUND(E23*F23/10,2)</f>
        <v>61.24</v>
      </c>
      <c r="H23" s="447"/>
      <c r="I23" s="447"/>
    </row>
    <row r="24" spans="1:13" s="429" customFormat="1">
      <c r="A24" s="427"/>
      <c r="B24" s="152"/>
      <c r="C24" s="159" t="s">
        <v>319</v>
      </c>
      <c r="D24" s="167"/>
      <c r="E24" s="127"/>
      <c r="F24" s="98"/>
      <c r="G24" s="428"/>
      <c r="H24" s="446"/>
      <c r="I24" s="446"/>
    </row>
    <row r="25" spans="1:13" s="429" customFormat="1">
      <c r="A25" s="427"/>
      <c r="B25" s="152"/>
      <c r="C25" s="159" t="s">
        <v>321</v>
      </c>
      <c r="D25" s="167"/>
      <c r="E25" s="431">
        <f>(E22*0.15+E23*0.21)/10+E21*0.2</f>
        <v>2.4855999999999996E-2</v>
      </c>
      <c r="F25" s="98">
        <f>F17</f>
        <v>90</v>
      </c>
      <c r="G25" s="99">
        <f>ROUND(F25*E25,2)</f>
        <v>2.2400000000000002</v>
      </c>
      <c r="H25" s="466"/>
      <c r="I25" s="466"/>
    </row>
    <row r="26" spans="1:13" s="429" customFormat="1">
      <c r="A26" s="427"/>
      <c r="B26" s="152"/>
      <c r="C26" s="159" t="s">
        <v>322</v>
      </c>
      <c r="D26" s="167"/>
      <c r="E26" s="432">
        <f>ROUND(E21*0.512,3)</f>
        <v>3.5999999999999997E-2</v>
      </c>
      <c r="F26" s="98">
        <f>F18</f>
        <v>0</v>
      </c>
      <c r="G26" s="99">
        <f>ROUND(F26*E26,2)</f>
        <v>0</v>
      </c>
      <c r="H26" s="466"/>
      <c r="I26" s="466"/>
    </row>
    <row r="27" spans="1:13">
      <c r="A27" s="419"/>
      <c r="B27" s="430"/>
      <c r="C27" s="173"/>
      <c r="D27" s="174"/>
      <c r="E27" s="420"/>
      <c r="F27" s="115"/>
      <c r="G27" s="423"/>
      <c r="H27" s="447"/>
      <c r="I27" s="447"/>
    </row>
    <row r="28" spans="1:13">
      <c r="A28" s="419"/>
      <c r="B28" s="430"/>
      <c r="C28" s="426" t="s">
        <v>228</v>
      </c>
      <c r="D28" s="174"/>
      <c r="E28" s="420"/>
      <c r="F28" s="115"/>
      <c r="G28" s="433">
        <f>SUM(G21:G26)</f>
        <v>673.78000000000009</v>
      </c>
      <c r="H28" s="448"/>
      <c r="I28" s="448"/>
    </row>
    <row r="29" spans="1:13">
      <c r="A29" s="419"/>
      <c r="B29" s="430"/>
      <c r="C29" s="426"/>
      <c r="D29" s="174"/>
      <c r="E29" s="420"/>
      <c r="F29" s="115"/>
      <c r="G29" s="433"/>
      <c r="H29" s="448"/>
      <c r="I29" s="448"/>
    </row>
    <row r="30" spans="1:13">
      <c r="A30" s="419"/>
      <c r="B30" s="430"/>
      <c r="C30" s="426" t="s">
        <v>441</v>
      </c>
      <c r="D30" s="174"/>
      <c r="E30" s="420"/>
      <c r="F30" s="115"/>
      <c r="G30" s="433"/>
      <c r="H30" s="448"/>
      <c r="I30" s="448"/>
    </row>
    <row r="31" spans="1:13" s="439" customFormat="1" ht="38.25">
      <c r="A31" s="184"/>
      <c r="B31" s="434" t="s">
        <v>443</v>
      </c>
      <c r="C31" s="435" t="s">
        <v>456</v>
      </c>
      <c r="D31" s="436" t="s">
        <v>310</v>
      </c>
      <c r="E31" s="437" t="s">
        <v>442</v>
      </c>
      <c r="F31" s="438" t="s">
        <v>444</v>
      </c>
      <c r="G31" s="421" t="s">
        <v>511</v>
      </c>
      <c r="H31" s="415"/>
      <c r="I31" s="415"/>
    </row>
    <row r="32" spans="1:13" ht="20.100000000000001" customHeight="1">
      <c r="A32" s="419"/>
      <c r="B32" s="440">
        <f t="shared" ref="B32:B38" si="0">B33-0.5</f>
        <v>-4</v>
      </c>
      <c r="C32" s="435" t="s">
        <v>493</v>
      </c>
      <c r="D32" s="441">
        <f>Lead!$Q$27</f>
        <v>0.13614999999999999</v>
      </c>
      <c r="E32" s="420">
        <f t="shared" ref="E32:E39" si="1">$G$19</f>
        <v>5972.2099999999991</v>
      </c>
      <c r="F32" s="420">
        <f t="shared" ref="F32:F38" si="2">$G$28</f>
        <v>673.78000000000009</v>
      </c>
      <c r="G32" s="442">
        <f>ROUND((E32+B32*F32)+(E32+B32*F32)*D32,2)</f>
        <v>3723.27</v>
      </c>
      <c r="H32" s="449"/>
      <c r="I32" s="449"/>
    </row>
    <row r="33" spans="1:9" ht="20.100000000000001" customHeight="1">
      <c r="A33" s="419"/>
      <c r="B33" s="440">
        <f t="shared" si="0"/>
        <v>-3.5</v>
      </c>
      <c r="C33" s="435" t="s">
        <v>494</v>
      </c>
      <c r="D33" s="441">
        <f>Lead!$Q$27</f>
        <v>0.13614999999999999</v>
      </c>
      <c r="E33" s="420">
        <f t="shared" si="1"/>
        <v>5972.2099999999991</v>
      </c>
      <c r="F33" s="420">
        <f t="shared" si="2"/>
        <v>673.78000000000009</v>
      </c>
      <c r="G33" s="442">
        <f t="shared" ref="G33:G49" si="3">ROUND((E33+B33*F33)+(E33+B33*F33)*D33,2)</f>
        <v>4106.0200000000004</v>
      </c>
      <c r="H33" s="449"/>
      <c r="I33" s="449"/>
    </row>
    <row r="34" spans="1:9" ht="20.100000000000001" customHeight="1">
      <c r="A34" s="419"/>
      <c r="B34" s="440">
        <f t="shared" si="0"/>
        <v>-3</v>
      </c>
      <c r="C34" s="435" t="s">
        <v>495</v>
      </c>
      <c r="D34" s="441">
        <f>Lead!$Q$27</f>
        <v>0.13614999999999999</v>
      </c>
      <c r="E34" s="420">
        <f t="shared" si="1"/>
        <v>5972.2099999999991</v>
      </c>
      <c r="F34" s="420">
        <f t="shared" si="2"/>
        <v>673.78000000000009</v>
      </c>
      <c r="G34" s="442">
        <f t="shared" si="3"/>
        <v>4488.78</v>
      </c>
      <c r="H34" s="449"/>
      <c r="I34" s="449"/>
    </row>
    <row r="35" spans="1:9" ht="20.100000000000001" customHeight="1">
      <c r="A35" s="419"/>
      <c r="B35" s="440">
        <f t="shared" si="0"/>
        <v>-2.5</v>
      </c>
      <c r="C35" s="435" t="s">
        <v>496</v>
      </c>
      <c r="D35" s="441">
        <f>Lead!$Q$27</f>
        <v>0.13614999999999999</v>
      </c>
      <c r="E35" s="420">
        <f t="shared" si="1"/>
        <v>5972.2099999999991</v>
      </c>
      <c r="F35" s="420">
        <f t="shared" si="2"/>
        <v>673.78000000000009</v>
      </c>
      <c r="G35" s="442">
        <f t="shared" si="3"/>
        <v>4871.54</v>
      </c>
      <c r="H35" s="449"/>
      <c r="I35" s="449"/>
    </row>
    <row r="36" spans="1:9" ht="20.100000000000001" customHeight="1">
      <c r="A36" s="419"/>
      <c r="B36" s="440">
        <f t="shared" si="0"/>
        <v>-2</v>
      </c>
      <c r="C36" s="435" t="s">
        <v>497</v>
      </c>
      <c r="D36" s="441">
        <f>Lead!$Q$27</f>
        <v>0.13614999999999999</v>
      </c>
      <c r="E36" s="420">
        <f t="shared" si="1"/>
        <v>5972.2099999999991</v>
      </c>
      <c r="F36" s="420">
        <f t="shared" si="2"/>
        <v>673.78000000000009</v>
      </c>
      <c r="G36" s="442">
        <f t="shared" si="3"/>
        <v>5254.3</v>
      </c>
      <c r="H36" s="449"/>
      <c r="I36" s="449"/>
    </row>
    <row r="37" spans="1:9" ht="20.100000000000001" customHeight="1">
      <c r="A37" s="419"/>
      <c r="B37" s="440">
        <f t="shared" si="0"/>
        <v>-1.5</v>
      </c>
      <c r="C37" s="435" t="s">
        <v>498</v>
      </c>
      <c r="D37" s="441">
        <f>Lead!$Q$27</f>
        <v>0.13614999999999999</v>
      </c>
      <c r="E37" s="420">
        <f t="shared" si="1"/>
        <v>5972.2099999999991</v>
      </c>
      <c r="F37" s="420">
        <f t="shared" si="2"/>
        <v>673.78000000000009</v>
      </c>
      <c r="G37" s="442">
        <f t="shared" si="3"/>
        <v>5637.05</v>
      </c>
      <c r="H37" s="449"/>
      <c r="I37" s="449"/>
    </row>
    <row r="38" spans="1:9" ht="20.100000000000001" customHeight="1">
      <c r="A38" s="419"/>
      <c r="B38" s="440">
        <f t="shared" si="0"/>
        <v>-1</v>
      </c>
      <c r="C38" s="435" t="s">
        <v>499</v>
      </c>
      <c r="D38" s="441">
        <f>Lead!$Q$27</f>
        <v>0.13614999999999999</v>
      </c>
      <c r="E38" s="420">
        <f t="shared" si="1"/>
        <v>5972.2099999999991</v>
      </c>
      <c r="F38" s="420">
        <f t="shared" si="2"/>
        <v>673.78000000000009</v>
      </c>
      <c r="G38" s="442">
        <f t="shared" si="3"/>
        <v>6019.81</v>
      </c>
      <c r="H38" s="449"/>
      <c r="I38" s="449"/>
    </row>
    <row r="39" spans="1:9" ht="20.100000000000001" customHeight="1">
      <c r="A39" s="419"/>
      <c r="B39" s="440">
        <f>B40-0.5</f>
        <v>-0.5</v>
      </c>
      <c r="C39" s="435" t="s">
        <v>500</v>
      </c>
      <c r="D39" s="441">
        <f>Lead!$Q$27</f>
        <v>0.13614999999999999</v>
      </c>
      <c r="E39" s="420">
        <f t="shared" si="1"/>
        <v>5972.2099999999991</v>
      </c>
      <c r="F39" s="420">
        <f>$G$28</f>
        <v>673.78000000000009</v>
      </c>
      <c r="G39" s="442">
        <f t="shared" si="3"/>
        <v>6402.57</v>
      </c>
      <c r="H39" s="449"/>
      <c r="I39" s="449"/>
    </row>
    <row r="40" spans="1:9" ht="20.100000000000001" customHeight="1">
      <c r="A40" s="419"/>
      <c r="B40" s="440">
        <v>0</v>
      </c>
      <c r="C40" s="435" t="s">
        <v>501</v>
      </c>
      <c r="D40" s="441">
        <f>Lead!$Q$27</f>
        <v>0.13614999999999999</v>
      </c>
      <c r="E40" s="420">
        <f>$G$19</f>
        <v>5972.2099999999991</v>
      </c>
      <c r="F40" s="420">
        <v>0</v>
      </c>
      <c r="G40" s="442">
        <f t="shared" si="3"/>
        <v>6785.33</v>
      </c>
      <c r="H40" s="449"/>
      <c r="I40" s="449"/>
    </row>
    <row r="41" spans="1:9" ht="20.100000000000001" customHeight="1">
      <c r="A41" s="419"/>
      <c r="B41" s="440">
        <v>0.5</v>
      </c>
      <c r="C41" s="435" t="s">
        <v>502</v>
      </c>
      <c r="D41" s="441">
        <f>Lead!$Q$27</f>
        <v>0.13614999999999999</v>
      </c>
      <c r="E41" s="420">
        <f t="shared" ref="E41:E49" si="4">$G$19</f>
        <v>5972.2099999999991</v>
      </c>
      <c r="F41" s="420">
        <f>$G$28</f>
        <v>673.78000000000009</v>
      </c>
      <c r="G41" s="442">
        <f t="shared" si="3"/>
        <v>7168.08</v>
      </c>
      <c r="H41" s="449"/>
      <c r="I41" s="449"/>
    </row>
    <row r="42" spans="1:9" ht="20.100000000000001" customHeight="1">
      <c r="A42" s="419"/>
      <c r="B42" s="440">
        <v>1</v>
      </c>
      <c r="C42" s="435" t="s">
        <v>503</v>
      </c>
      <c r="D42" s="441">
        <f>Lead!$Q$27</f>
        <v>0.13614999999999999</v>
      </c>
      <c r="E42" s="420">
        <f t="shared" si="4"/>
        <v>5972.2099999999991</v>
      </c>
      <c r="F42" s="420">
        <f t="shared" ref="F42:F49" si="5">$G$28</f>
        <v>673.78000000000009</v>
      </c>
      <c r="G42" s="442">
        <f t="shared" si="3"/>
        <v>7550.84</v>
      </c>
      <c r="H42" s="449"/>
      <c r="I42" s="449"/>
    </row>
    <row r="43" spans="1:9" ht="20.100000000000001" customHeight="1">
      <c r="A43" s="419"/>
      <c r="B43" s="440">
        <f>B42+0.5</f>
        <v>1.5</v>
      </c>
      <c r="C43" s="435" t="s">
        <v>504</v>
      </c>
      <c r="D43" s="441">
        <f>Lead!$Q$27</f>
        <v>0.13614999999999999</v>
      </c>
      <c r="E43" s="420">
        <f t="shared" si="4"/>
        <v>5972.2099999999991</v>
      </c>
      <c r="F43" s="420">
        <f t="shared" si="5"/>
        <v>673.78000000000009</v>
      </c>
      <c r="G43" s="442">
        <f t="shared" si="3"/>
        <v>7933.6</v>
      </c>
      <c r="H43" s="449"/>
      <c r="I43" s="449"/>
    </row>
    <row r="44" spans="1:9" ht="20.100000000000001" customHeight="1">
      <c r="A44" s="419"/>
      <c r="B44" s="440">
        <f t="shared" ref="B44:B49" si="6">B43+0.5</f>
        <v>2</v>
      </c>
      <c r="C44" s="435" t="s">
        <v>505</v>
      </c>
      <c r="D44" s="441">
        <f>Lead!$Q$27</f>
        <v>0.13614999999999999</v>
      </c>
      <c r="E44" s="420">
        <f t="shared" si="4"/>
        <v>5972.2099999999991</v>
      </c>
      <c r="F44" s="420">
        <f t="shared" si="5"/>
        <v>673.78000000000009</v>
      </c>
      <c r="G44" s="442">
        <f t="shared" si="3"/>
        <v>8316.36</v>
      </c>
      <c r="H44" s="449"/>
      <c r="I44" s="449"/>
    </row>
    <row r="45" spans="1:9" ht="20.100000000000001" customHeight="1">
      <c r="A45" s="419"/>
      <c r="B45" s="440">
        <f t="shared" si="6"/>
        <v>2.5</v>
      </c>
      <c r="C45" s="435" t="s">
        <v>506</v>
      </c>
      <c r="D45" s="441">
        <f>Lead!$Q$27</f>
        <v>0.13614999999999999</v>
      </c>
      <c r="E45" s="420">
        <f t="shared" si="4"/>
        <v>5972.2099999999991</v>
      </c>
      <c r="F45" s="420">
        <f t="shared" si="5"/>
        <v>673.78000000000009</v>
      </c>
      <c r="G45" s="442">
        <f t="shared" si="3"/>
        <v>8699.11</v>
      </c>
      <c r="H45" s="449"/>
      <c r="I45" s="449"/>
    </row>
    <row r="46" spans="1:9" ht="20.100000000000001" customHeight="1">
      <c r="A46" s="419"/>
      <c r="B46" s="440">
        <f t="shared" si="6"/>
        <v>3</v>
      </c>
      <c r="C46" s="435" t="s">
        <v>507</v>
      </c>
      <c r="D46" s="441">
        <f>Lead!$Q$27</f>
        <v>0.13614999999999999</v>
      </c>
      <c r="E46" s="420">
        <f t="shared" si="4"/>
        <v>5972.2099999999991</v>
      </c>
      <c r="F46" s="420">
        <f t="shared" si="5"/>
        <v>673.78000000000009</v>
      </c>
      <c r="G46" s="442">
        <f t="shared" si="3"/>
        <v>9081.8700000000008</v>
      </c>
      <c r="H46" s="449"/>
      <c r="I46" s="449"/>
    </row>
    <row r="47" spans="1:9" ht="20.100000000000001" customHeight="1">
      <c r="A47" s="419"/>
      <c r="B47" s="440">
        <f t="shared" si="6"/>
        <v>3.5</v>
      </c>
      <c r="C47" s="435" t="s">
        <v>508</v>
      </c>
      <c r="D47" s="441">
        <f>Lead!$Q$27</f>
        <v>0.13614999999999999</v>
      </c>
      <c r="E47" s="420">
        <f t="shared" si="4"/>
        <v>5972.2099999999991</v>
      </c>
      <c r="F47" s="420">
        <f t="shared" si="5"/>
        <v>673.78000000000009</v>
      </c>
      <c r="G47" s="442">
        <f t="shared" si="3"/>
        <v>9464.6299999999992</v>
      </c>
      <c r="H47" s="449"/>
      <c r="I47" s="449"/>
    </row>
    <row r="48" spans="1:9" ht="20.100000000000001" customHeight="1">
      <c r="A48" s="419"/>
      <c r="B48" s="440">
        <f t="shared" si="6"/>
        <v>4</v>
      </c>
      <c r="C48" s="435" t="s">
        <v>509</v>
      </c>
      <c r="D48" s="441">
        <f>Lead!$Q$27</f>
        <v>0.13614999999999999</v>
      </c>
      <c r="E48" s="420">
        <f t="shared" si="4"/>
        <v>5972.2099999999991</v>
      </c>
      <c r="F48" s="420">
        <f t="shared" si="5"/>
        <v>673.78000000000009</v>
      </c>
      <c r="G48" s="442">
        <f t="shared" si="3"/>
        <v>9847.39</v>
      </c>
      <c r="H48" s="449"/>
      <c r="I48" s="449"/>
    </row>
    <row r="49" spans="1:15" ht="20.100000000000001" customHeight="1">
      <c r="A49" s="419"/>
      <c r="B49" s="440">
        <f t="shared" si="6"/>
        <v>4.5</v>
      </c>
      <c r="C49" s="435" t="s">
        <v>510</v>
      </c>
      <c r="D49" s="441">
        <f>Lead!$Q$27</f>
        <v>0.13614999999999999</v>
      </c>
      <c r="E49" s="420">
        <f t="shared" si="4"/>
        <v>5972.2099999999991</v>
      </c>
      <c r="F49" s="420">
        <f t="shared" si="5"/>
        <v>673.78000000000009</v>
      </c>
      <c r="G49" s="442">
        <f t="shared" si="3"/>
        <v>10230.14</v>
      </c>
      <c r="H49" s="449"/>
      <c r="I49" s="449"/>
    </row>
    <row r="50" spans="1:15" ht="174.95" customHeight="1">
      <c r="A50" s="419"/>
      <c r="B50" s="164">
        <v>2</v>
      </c>
      <c r="C50" s="173" t="s">
        <v>149</v>
      </c>
      <c r="D50" s="174"/>
      <c r="E50" s="420" t="s">
        <v>446</v>
      </c>
      <c r="F50" s="115"/>
      <c r="G50" s="421"/>
      <c r="H50" s="1613" t="s">
        <v>446</v>
      </c>
      <c r="I50" s="1614"/>
      <c r="J50" s="1613" t="s">
        <v>440</v>
      </c>
      <c r="K50" s="1614"/>
      <c r="L50" s="1613" t="s">
        <v>439</v>
      </c>
      <c r="M50" s="1615"/>
    </row>
    <row r="51" spans="1:15">
      <c r="A51" s="419"/>
      <c r="B51" s="422"/>
      <c r="C51" s="173" t="s">
        <v>171</v>
      </c>
      <c r="D51" s="174" t="s">
        <v>109</v>
      </c>
      <c r="E51" s="443">
        <f>I51</f>
        <v>0.21299999999999999</v>
      </c>
      <c r="F51" s="115">
        <f>'Datas P7'!G226</f>
        <v>5383.2900000000009</v>
      </c>
      <c r="G51" s="423">
        <f>+ROUND(E51*F51,2)</f>
        <v>1146.6400000000001</v>
      </c>
      <c r="H51" s="447"/>
      <c r="I51" s="447">
        <v>0.21299999999999999</v>
      </c>
      <c r="K51" s="165">
        <v>0.21299999999999999</v>
      </c>
      <c r="M51" s="165">
        <v>0.21299999999999999</v>
      </c>
      <c r="O51" s="165">
        <f>9*6504.8</f>
        <v>58543.200000000004</v>
      </c>
    </row>
    <row r="52" spans="1:15" ht="38.25">
      <c r="A52" s="419"/>
      <c r="B52" s="422"/>
      <c r="C52" s="173" t="s">
        <v>448</v>
      </c>
      <c r="D52" s="174" t="s">
        <v>109</v>
      </c>
      <c r="E52" s="443">
        <f>I52</f>
        <v>0.22600000000000001</v>
      </c>
      <c r="F52" s="115">
        <f>'Datas P7'!G287</f>
        <v>8504.4699999999993</v>
      </c>
      <c r="G52" s="423">
        <f>+ROUND(E52*F52,2)</f>
        <v>1922.01</v>
      </c>
      <c r="H52" s="465">
        <f>ROUND(PI()/4*0.23*0.23*0.23*2,3)</f>
        <v>1.9E-2</v>
      </c>
      <c r="I52" s="465">
        <f>0.245-H52</f>
        <v>0.22600000000000001</v>
      </c>
      <c r="J52" s="465">
        <f>ROUND(PI()/4*0.28*0.28*0.23*2,3)</f>
        <v>2.8000000000000001E-2</v>
      </c>
      <c r="K52" s="465">
        <f>0.245-J52</f>
        <v>0.217</v>
      </c>
      <c r="L52" s="465">
        <f>ROUND(PI()/4*0.33*0.33*0.23*2,3)</f>
        <v>3.9E-2</v>
      </c>
      <c r="M52" s="465">
        <f>0.245-L52</f>
        <v>0.20599999999999999</v>
      </c>
    </row>
    <row r="53" spans="1:15" ht="38.25">
      <c r="A53" s="419"/>
      <c r="B53" s="422"/>
      <c r="C53" s="173" t="s">
        <v>324</v>
      </c>
      <c r="D53" s="174" t="s">
        <v>109</v>
      </c>
      <c r="E53" s="443">
        <f>I53</f>
        <v>0.48299999999999998</v>
      </c>
      <c r="F53" s="115">
        <f>F52</f>
        <v>8504.4699999999993</v>
      </c>
      <c r="G53" s="423">
        <f>+ROUND(E53*F53,2)</f>
        <v>4107.66</v>
      </c>
      <c r="H53" s="165"/>
      <c r="I53" s="165">
        <v>0.48299999999999998</v>
      </c>
      <c r="K53" s="165">
        <v>0.48299999999999998</v>
      </c>
      <c r="M53" s="165">
        <v>0.48299999999999998</v>
      </c>
    </row>
    <row r="54" spans="1:15" ht="51">
      <c r="A54" s="419"/>
      <c r="B54" s="422"/>
      <c r="C54" s="173" t="s">
        <v>449</v>
      </c>
      <c r="D54" s="174" t="s">
        <v>326</v>
      </c>
      <c r="E54" s="443">
        <f>I54</f>
        <v>3.8570000000000002</v>
      </c>
      <c r="F54" s="115">
        <f>'Datas P7'!G298</f>
        <v>170.45499999999998</v>
      </c>
      <c r="G54" s="423">
        <f>+ROUND(E54*F54/10,2)</f>
        <v>65.739999999999995</v>
      </c>
      <c r="H54" s="165">
        <f>ROUND(PI()/4*0.23*0.23*2,3)</f>
        <v>8.3000000000000004E-2</v>
      </c>
      <c r="I54" s="165">
        <f>1.28+2.66-0.083</f>
        <v>3.8570000000000002</v>
      </c>
      <c r="J54" s="165">
        <f>ROUND(PI()/4*0.28*0.28*2,2)</f>
        <v>0.12</v>
      </c>
      <c r="K54" s="165">
        <f>1.28+2.66-J54</f>
        <v>3.8200000000000003</v>
      </c>
      <c r="L54" s="165">
        <f>ROUND(PI()/4*0.33^2*2,2)</f>
        <v>0.17</v>
      </c>
      <c r="M54" s="165">
        <f>1.28+2.66-0.17</f>
        <v>3.7700000000000005</v>
      </c>
    </row>
    <row r="55" spans="1:15" ht="63.75">
      <c r="A55" s="419"/>
      <c r="B55" s="422"/>
      <c r="C55" s="173" t="s">
        <v>450</v>
      </c>
      <c r="D55" s="174" t="s">
        <v>326</v>
      </c>
      <c r="E55" s="420">
        <f>I55</f>
        <v>2.5349999999999997</v>
      </c>
      <c r="F55" s="115">
        <f>'Datas P7'!G308</f>
        <v>2594.8599999999997</v>
      </c>
      <c r="G55" s="423">
        <f>+ROUND(E55*F55/10,2)</f>
        <v>657.8</v>
      </c>
      <c r="H55" s="165">
        <f>ROUND(PI()/4*0.2*0.2*2,3)</f>
        <v>6.3E-2</v>
      </c>
      <c r="I55" s="467">
        <f>0.848+1.75-0.063</f>
        <v>2.5349999999999997</v>
      </c>
      <c r="J55" s="165">
        <f>ROUND(PI()/4*0.25*0.25*2,3)</f>
        <v>9.8000000000000004E-2</v>
      </c>
      <c r="K55" s="467">
        <f>0.848+1.75-J55</f>
        <v>2.5</v>
      </c>
      <c r="L55" s="165">
        <f>ROUND(PI()/4*0.3^2,3)</f>
        <v>7.0999999999999994E-2</v>
      </c>
      <c r="M55" s="165">
        <f>0.848+1.75-L55</f>
        <v>2.5269999999999997</v>
      </c>
    </row>
    <row r="56" spans="1:15" ht="51">
      <c r="A56" s="419"/>
      <c r="B56" s="422"/>
      <c r="C56" s="203" t="s">
        <v>445</v>
      </c>
      <c r="D56" s="174" t="s">
        <v>109</v>
      </c>
      <c r="E56" s="443">
        <v>0.13200000000000001</v>
      </c>
      <c r="F56" s="115">
        <f>'Datas P7'!G258</f>
        <v>6018.18</v>
      </c>
      <c r="G56" s="423">
        <f>+ROUND(E56*F56,2)</f>
        <v>794.4</v>
      </c>
      <c r="H56" s="165">
        <f>ROUND(0.9*0.2*0.2,3)</f>
        <v>3.5999999999999997E-2</v>
      </c>
      <c r="I56" s="165">
        <f>0.13+0.038-0.036</f>
        <v>0.13200000000000001</v>
      </c>
      <c r="J56" s="165">
        <f>ROUND(0.9*0.25*0.2,3)</f>
        <v>4.4999999999999998E-2</v>
      </c>
      <c r="K56" s="165">
        <f>0.13+0.038-J56</f>
        <v>0.12300000000000001</v>
      </c>
      <c r="L56" s="165">
        <f>ROUND(0.9*0.3*0.2,3)</f>
        <v>5.3999999999999999E-2</v>
      </c>
      <c r="M56" s="165">
        <f>0.13+0.038-L56</f>
        <v>0.11400000000000002</v>
      </c>
    </row>
    <row r="57" spans="1:15">
      <c r="A57" s="419" t="s">
        <v>128</v>
      </c>
      <c r="B57" s="422"/>
      <c r="C57" s="203" t="s">
        <v>225</v>
      </c>
      <c r="D57" s="174" t="s">
        <v>226</v>
      </c>
      <c r="E57" s="420">
        <v>2</v>
      </c>
      <c r="F57" s="115">
        <v>66</v>
      </c>
      <c r="G57" s="423">
        <f>+ROUND(E57*F57,2)</f>
        <v>132</v>
      </c>
      <c r="H57" s="447"/>
      <c r="I57" s="165"/>
    </row>
    <row r="58" spans="1:15">
      <c r="A58" s="184"/>
      <c r="B58" s="425"/>
      <c r="C58" s="426" t="s">
        <v>106</v>
      </c>
      <c r="D58" s="174" t="s">
        <v>226</v>
      </c>
      <c r="E58" s="420"/>
      <c r="F58" s="115" t="s">
        <v>154</v>
      </c>
      <c r="G58" s="421">
        <f>SUM(G51:G57)</f>
        <v>8826.25</v>
      </c>
      <c r="H58" s="415"/>
      <c r="I58" s="165"/>
    </row>
    <row r="59" spans="1:15" s="429" customFormat="1">
      <c r="A59" s="427"/>
      <c r="B59" s="152"/>
      <c r="C59" s="159" t="s">
        <v>320</v>
      </c>
      <c r="D59" s="167" t="s">
        <v>109</v>
      </c>
      <c r="E59" s="431">
        <v>0.31</v>
      </c>
      <c r="F59" s="98">
        <f>Lead!T19</f>
        <v>75</v>
      </c>
      <c r="G59" s="99">
        <f>ROUND(F59*E59,2)</f>
        <v>23.25</v>
      </c>
      <c r="H59" s="468"/>
      <c r="I59" s="431">
        <f>ROUND(I51*0.9+I56*0.9,2)</f>
        <v>0.31</v>
      </c>
      <c r="J59" s="431"/>
      <c r="K59" s="431">
        <f>ROUND(K51*0.9+K56*0.9,2)</f>
        <v>0.3</v>
      </c>
      <c r="M59" s="431">
        <f>ROUND(M51*0.9+M56*0.9,2)</f>
        <v>0.28999999999999998</v>
      </c>
    </row>
    <row r="60" spans="1:15" s="429" customFormat="1">
      <c r="A60" s="427"/>
      <c r="B60" s="152"/>
      <c r="C60" s="159" t="s">
        <v>321</v>
      </c>
      <c r="D60" s="167" t="s">
        <v>109</v>
      </c>
      <c r="E60" s="431">
        <v>0.41</v>
      </c>
      <c r="F60" s="98">
        <f>Lead!T10</f>
        <v>90</v>
      </c>
      <c r="G60" s="99">
        <f>ROUND(F60*E60,2)</f>
        <v>36.9</v>
      </c>
      <c r="H60" s="466"/>
      <c r="I60" s="431">
        <f>ROUND((I52+I53)*0.2+(I54*0.015+I55*0.021)+(I51+I56)*0.45,2)</f>
        <v>0.41</v>
      </c>
      <c r="J60" s="431"/>
      <c r="K60" s="431">
        <f>ROUND((K52+K53)*0.2+(K54*0.015+K55*0.021)+(K51+K56)*0.45,2)</f>
        <v>0.4</v>
      </c>
      <c r="M60" s="431">
        <f>ROUND((M52+M53)*0.2+(M54*0.015+M55*0.021)+(M51+M56)*0.45,2)</f>
        <v>0.39</v>
      </c>
    </row>
    <row r="61" spans="1:15" s="429" customFormat="1">
      <c r="A61" s="427"/>
      <c r="B61" s="152"/>
      <c r="C61" s="159" t="s">
        <v>322</v>
      </c>
      <c r="D61" s="167"/>
      <c r="E61" s="127">
        <f>SUM(E52+E53)*512</f>
        <v>363.00799999999998</v>
      </c>
      <c r="F61" s="98">
        <f>Lead!$O$15</f>
        <v>0</v>
      </c>
      <c r="G61" s="99">
        <f>ROUND(F61*E61/1000,2)</f>
        <v>0</v>
      </c>
      <c r="H61" s="466"/>
      <c r="I61" s="127">
        <f>ROUND((I52+I53)*512,2)</f>
        <v>363.01</v>
      </c>
      <c r="J61" s="127"/>
      <c r="K61" s="127">
        <f>ROUND((K52+K53)*512,2)</f>
        <v>358.4</v>
      </c>
      <c r="M61" s="127">
        <f>ROUND((M52+M53)*512,2)</f>
        <v>352.77</v>
      </c>
    </row>
    <row r="62" spans="1:15" s="429" customFormat="1">
      <c r="A62" s="427"/>
      <c r="B62" s="152"/>
      <c r="C62" s="159" t="s">
        <v>273</v>
      </c>
      <c r="D62" s="167"/>
      <c r="E62" s="127"/>
      <c r="F62" s="98"/>
      <c r="G62" s="428">
        <f>SUM(G58:G61)</f>
        <v>8886.4</v>
      </c>
      <c r="H62" s="446"/>
      <c r="I62" s="446"/>
    </row>
    <row r="63" spans="1:15" ht="177.75" customHeight="1">
      <c r="A63" s="419"/>
      <c r="B63" s="430"/>
      <c r="C63" s="173" t="s">
        <v>350</v>
      </c>
      <c r="D63" s="174"/>
      <c r="E63" s="420"/>
      <c r="F63" s="115"/>
      <c r="G63" s="423"/>
      <c r="H63" s="447"/>
      <c r="I63" s="447"/>
    </row>
    <row r="64" spans="1:15" ht="25.5">
      <c r="A64" s="419"/>
      <c r="B64" s="430"/>
      <c r="C64" s="173" t="s">
        <v>172</v>
      </c>
      <c r="D64" s="174" t="s">
        <v>109</v>
      </c>
      <c r="E64" s="443">
        <f>0.082</f>
        <v>8.2000000000000003E-2</v>
      </c>
      <c r="F64" s="115">
        <f>'Datas P7'!G287</f>
        <v>8504.4699999999993</v>
      </c>
      <c r="G64" s="423">
        <f>+ROUND(E64*F64,2)</f>
        <v>697.37</v>
      </c>
      <c r="H64" s="447"/>
      <c r="I64" s="447"/>
    </row>
    <row r="65" spans="1:9" ht="25.5">
      <c r="A65" s="419"/>
      <c r="B65" s="430"/>
      <c r="C65" s="173" t="s">
        <v>147</v>
      </c>
      <c r="D65" s="174" t="s">
        <v>326</v>
      </c>
      <c r="E65" s="443">
        <v>0.42699999999999999</v>
      </c>
      <c r="F65" s="115">
        <f>'Datas P7'!G298</f>
        <v>170.45499999999998</v>
      </c>
      <c r="G65" s="423">
        <f>+ROUND(E65*F65/10,2)</f>
        <v>7.28</v>
      </c>
      <c r="H65" s="447"/>
      <c r="I65" s="447"/>
    </row>
    <row r="66" spans="1:9" ht="25.5">
      <c r="A66" s="419"/>
      <c r="B66" s="430"/>
      <c r="C66" s="173" t="s">
        <v>148</v>
      </c>
      <c r="D66" s="174" t="s">
        <v>326</v>
      </c>
      <c r="E66" s="443">
        <v>0.28299999999999997</v>
      </c>
      <c r="F66" s="115">
        <f>'Datas P7'!G308</f>
        <v>2594.8599999999997</v>
      </c>
      <c r="G66" s="423">
        <f>+ROUND(E66*F66/10,2)</f>
        <v>73.430000000000007</v>
      </c>
      <c r="H66" s="447"/>
      <c r="I66" s="447"/>
    </row>
    <row r="67" spans="1:9" s="429" customFormat="1">
      <c r="A67" s="427"/>
      <c r="B67" s="152"/>
      <c r="C67" s="159" t="s">
        <v>319</v>
      </c>
      <c r="D67" s="167"/>
      <c r="E67" s="127"/>
      <c r="F67" s="98"/>
      <c r="G67" s="428"/>
      <c r="H67" s="446"/>
      <c r="I67" s="446"/>
    </row>
    <row r="68" spans="1:9" s="429" customFormat="1">
      <c r="A68" s="427"/>
      <c r="B68" s="152"/>
      <c r="C68" s="159" t="s">
        <v>321</v>
      </c>
      <c r="D68" s="167" t="s">
        <v>109</v>
      </c>
      <c r="E68" s="431">
        <f>E65*0.015+E66*0.021+E64*0.2</f>
        <v>2.8747999999999999E-2</v>
      </c>
      <c r="F68" s="98">
        <f>F60</f>
        <v>90</v>
      </c>
      <c r="G68" s="99">
        <f>ROUND(F68*E68,2)</f>
        <v>2.59</v>
      </c>
      <c r="H68" s="466"/>
      <c r="I68" s="466">
        <f>6178.53-518.68</f>
        <v>5659.8499999999995</v>
      </c>
    </row>
    <row r="69" spans="1:9" s="429" customFormat="1">
      <c r="A69" s="427"/>
      <c r="B69" s="152"/>
      <c r="C69" s="159" t="s">
        <v>322</v>
      </c>
      <c r="D69" s="167"/>
      <c r="E69" s="432">
        <f>E64*0.512</f>
        <v>4.1984E-2</v>
      </c>
      <c r="F69" s="98">
        <f>F61</f>
        <v>0</v>
      </c>
      <c r="G69" s="99">
        <f>ROUND(F69*E69,2)</f>
        <v>0</v>
      </c>
      <c r="H69" s="466"/>
      <c r="I69" s="466"/>
    </row>
    <row r="70" spans="1:9">
      <c r="A70" s="419"/>
      <c r="B70" s="430"/>
      <c r="C70" s="426" t="s">
        <v>228</v>
      </c>
      <c r="D70" s="174"/>
      <c r="E70" s="420"/>
      <c r="F70" s="115"/>
      <c r="G70" s="421">
        <f>SUM(G64:G69)</f>
        <v>780.67</v>
      </c>
      <c r="H70" s="415"/>
      <c r="I70" s="415"/>
    </row>
    <row r="71" spans="1:9">
      <c r="A71" s="419"/>
      <c r="B71" s="430"/>
      <c r="C71" s="426"/>
      <c r="D71" s="174"/>
      <c r="E71" s="420"/>
      <c r="F71" s="115"/>
      <c r="G71" s="421"/>
      <c r="H71" s="415"/>
      <c r="I71" s="415"/>
    </row>
    <row r="72" spans="1:9">
      <c r="A72" s="419"/>
      <c r="B72" s="430"/>
      <c r="C72" s="426" t="s">
        <v>441</v>
      </c>
      <c r="D72" s="174"/>
      <c r="E72" s="420"/>
      <c r="F72" s="115"/>
      <c r="G72" s="433"/>
      <c r="H72" s="448"/>
      <c r="I72" s="448"/>
    </row>
    <row r="73" spans="1:9" s="439" customFormat="1" ht="38.25">
      <c r="A73" s="184"/>
      <c r="B73" s="434" t="s">
        <v>443</v>
      </c>
      <c r="C73" s="435" t="s">
        <v>456</v>
      </c>
      <c r="D73" s="436" t="s">
        <v>310</v>
      </c>
      <c r="E73" s="437" t="s">
        <v>442</v>
      </c>
      <c r="F73" s="438" t="s">
        <v>444</v>
      </c>
      <c r="G73" s="421" t="s">
        <v>511</v>
      </c>
      <c r="H73" s="415"/>
      <c r="I73" s="415"/>
    </row>
    <row r="74" spans="1:9" s="441" customFormat="1" ht="20.100000000000001" customHeight="1">
      <c r="A74" s="419"/>
      <c r="B74" s="440">
        <f t="shared" ref="B74:B82" si="7">B75-0.5</f>
        <v>-5</v>
      </c>
      <c r="C74" s="435" t="s">
        <v>475</v>
      </c>
      <c r="D74" s="441">
        <f>Lead!$Q$27</f>
        <v>0.13614999999999999</v>
      </c>
      <c r="E74" s="420">
        <f>$G$62</f>
        <v>8886.4</v>
      </c>
      <c r="F74" s="420">
        <f>$G$70</f>
        <v>780.67</v>
      </c>
      <c r="G74" s="442">
        <f>ROUND((E74+B74*F74)+(E74+B74*F74)*D74,2)</f>
        <v>5661.49</v>
      </c>
      <c r="H74" s="449"/>
      <c r="I74" s="449"/>
    </row>
    <row r="75" spans="1:9" s="441" customFormat="1" ht="20.100000000000001" customHeight="1">
      <c r="A75" s="419"/>
      <c r="B75" s="440">
        <f t="shared" si="7"/>
        <v>-4.5</v>
      </c>
      <c r="C75" s="435" t="s">
        <v>476</v>
      </c>
      <c r="D75" s="441">
        <f>Lead!$Q$27</f>
        <v>0.13614999999999999</v>
      </c>
      <c r="E75" s="420">
        <f t="shared" ref="E75:E91" si="8">$G$62</f>
        <v>8886.4</v>
      </c>
      <c r="F75" s="420">
        <f t="shared" ref="F75:F91" si="9">$G$70</f>
        <v>780.67</v>
      </c>
      <c r="G75" s="442">
        <f t="shared" ref="G75:G91" si="10">ROUND((E75+B75*F75)+(E75+B75*F75)*D75,2)</f>
        <v>6104.97</v>
      </c>
      <c r="H75" s="449"/>
      <c r="I75" s="449"/>
    </row>
    <row r="76" spans="1:9" s="441" customFormat="1" ht="20.100000000000001" customHeight="1">
      <c r="A76" s="419"/>
      <c r="B76" s="440">
        <f t="shared" si="7"/>
        <v>-4</v>
      </c>
      <c r="C76" s="435" t="s">
        <v>477</v>
      </c>
      <c r="D76" s="441">
        <f>Lead!$Q$27</f>
        <v>0.13614999999999999</v>
      </c>
      <c r="E76" s="420">
        <f t="shared" si="8"/>
        <v>8886.4</v>
      </c>
      <c r="F76" s="420">
        <f t="shared" si="9"/>
        <v>780.67</v>
      </c>
      <c r="G76" s="442">
        <f t="shared" si="10"/>
        <v>6548.45</v>
      </c>
      <c r="H76" s="449"/>
      <c r="I76" s="449"/>
    </row>
    <row r="77" spans="1:9" s="441" customFormat="1" ht="20.100000000000001" customHeight="1">
      <c r="A77" s="419"/>
      <c r="B77" s="440">
        <f t="shared" si="7"/>
        <v>-3.5</v>
      </c>
      <c r="C77" s="435" t="s">
        <v>478</v>
      </c>
      <c r="D77" s="441">
        <f>Lead!$Q$27</f>
        <v>0.13614999999999999</v>
      </c>
      <c r="E77" s="420">
        <f t="shared" si="8"/>
        <v>8886.4</v>
      </c>
      <c r="F77" s="420">
        <f t="shared" si="9"/>
        <v>780.67</v>
      </c>
      <c r="G77" s="442">
        <f t="shared" si="10"/>
        <v>6991.93</v>
      </c>
      <c r="H77" s="449"/>
      <c r="I77" s="449"/>
    </row>
    <row r="78" spans="1:9" s="441" customFormat="1" ht="20.100000000000001" customHeight="1">
      <c r="A78" s="419"/>
      <c r="B78" s="440">
        <f t="shared" si="7"/>
        <v>-3</v>
      </c>
      <c r="C78" s="435" t="s">
        <v>479</v>
      </c>
      <c r="D78" s="441">
        <f>Lead!$Q$27</f>
        <v>0.13614999999999999</v>
      </c>
      <c r="E78" s="420">
        <f t="shared" si="8"/>
        <v>8886.4</v>
      </c>
      <c r="F78" s="420">
        <f t="shared" si="9"/>
        <v>780.67</v>
      </c>
      <c r="G78" s="442">
        <f t="shared" si="10"/>
        <v>7435.41</v>
      </c>
      <c r="H78" s="449"/>
      <c r="I78" s="449"/>
    </row>
    <row r="79" spans="1:9" s="441" customFormat="1" ht="20.100000000000001" customHeight="1">
      <c r="A79" s="419"/>
      <c r="B79" s="440">
        <f t="shared" si="7"/>
        <v>-2.5</v>
      </c>
      <c r="C79" s="435" t="s">
        <v>480</v>
      </c>
      <c r="D79" s="441">
        <f>Lead!$Q$27</f>
        <v>0.13614999999999999</v>
      </c>
      <c r="E79" s="420">
        <f t="shared" si="8"/>
        <v>8886.4</v>
      </c>
      <c r="F79" s="420">
        <f t="shared" si="9"/>
        <v>780.67</v>
      </c>
      <c r="G79" s="442">
        <f t="shared" si="10"/>
        <v>7878.89</v>
      </c>
      <c r="H79" s="449"/>
      <c r="I79" s="449"/>
    </row>
    <row r="80" spans="1:9" s="441" customFormat="1" ht="20.100000000000001" customHeight="1">
      <c r="A80" s="419"/>
      <c r="B80" s="440">
        <f t="shared" si="7"/>
        <v>-2</v>
      </c>
      <c r="C80" s="435" t="s">
        <v>481</v>
      </c>
      <c r="D80" s="441">
        <f>Lead!$Q$27</f>
        <v>0.13614999999999999</v>
      </c>
      <c r="E80" s="420">
        <f t="shared" si="8"/>
        <v>8886.4</v>
      </c>
      <c r="F80" s="420">
        <f t="shared" si="9"/>
        <v>780.67</v>
      </c>
      <c r="G80" s="442">
        <f t="shared" si="10"/>
        <v>8322.3700000000008</v>
      </c>
      <c r="H80" s="449"/>
      <c r="I80" s="449"/>
    </row>
    <row r="81" spans="1:13" s="441" customFormat="1" ht="20.100000000000001" customHeight="1">
      <c r="A81" s="419"/>
      <c r="B81" s="440">
        <f t="shared" si="7"/>
        <v>-1.5</v>
      </c>
      <c r="C81" s="435" t="s">
        <v>482</v>
      </c>
      <c r="D81" s="441">
        <f>Lead!$Q$27</f>
        <v>0.13614999999999999</v>
      </c>
      <c r="E81" s="420">
        <f t="shared" si="8"/>
        <v>8886.4</v>
      </c>
      <c r="F81" s="420">
        <f t="shared" si="9"/>
        <v>780.67</v>
      </c>
      <c r="G81" s="442">
        <f t="shared" si="10"/>
        <v>8765.85</v>
      </c>
      <c r="H81" s="449"/>
      <c r="I81" s="449"/>
    </row>
    <row r="82" spans="1:13" s="441" customFormat="1" ht="20.100000000000001" customHeight="1">
      <c r="A82" s="419"/>
      <c r="B82" s="440">
        <f t="shared" si="7"/>
        <v>-1</v>
      </c>
      <c r="C82" s="435" t="s">
        <v>483</v>
      </c>
      <c r="D82" s="441">
        <f>Lead!$Q$27</f>
        <v>0.13614999999999999</v>
      </c>
      <c r="E82" s="420">
        <f t="shared" si="8"/>
        <v>8886.4</v>
      </c>
      <c r="F82" s="420">
        <f t="shared" si="9"/>
        <v>780.67</v>
      </c>
      <c r="G82" s="442">
        <f t="shared" si="10"/>
        <v>9209.33</v>
      </c>
      <c r="H82" s="449"/>
      <c r="I82" s="449"/>
    </row>
    <row r="83" spans="1:13" s="441" customFormat="1" ht="20.100000000000001" customHeight="1">
      <c r="A83" s="419"/>
      <c r="B83" s="440">
        <f>B84-0.5</f>
        <v>-0.5</v>
      </c>
      <c r="C83" s="435" t="s">
        <v>484</v>
      </c>
      <c r="D83" s="441">
        <f>Lead!$Q$27</f>
        <v>0.13614999999999999</v>
      </c>
      <c r="E83" s="420">
        <f t="shared" si="8"/>
        <v>8886.4</v>
      </c>
      <c r="F83" s="420">
        <f t="shared" si="9"/>
        <v>780.67</v>
      </c>
      <c r="G83" s="442">
        <f t="shared" si="10"/>
        <v>9652.7999999999993</v>
      </c>
      <c r="H83" s="449"/>
      <c r="I83" s="449"/>
    </row>
    <row r="84" spans="1:13" s="441" customFormat="1" ht="20.100000000000001" customHeight="1">
      <c r="A84" s="419"/>
      <c r="B84" s="440">
        <v>0</v>
      </c>
      <c r="C84" s="435" t="s">
        <v>485</v>
      </c>
      <c r="D84" s="441">
        <f>Lead!$Q$27</f>
        <v>0.13614999999999999</v>
      </c>
      <c r="E84" s="420">
        <f t="shared" si="8"/>
        <v>8886.4</v>
      </c>
      <c r="F84" s="420">
        <f t="shared" si="9"/>
        <v>780.67</v>
      </c>
      <c r="G84" s="442">
        <f t="shared" si="10"/>
        <v>10096.280000000001</v>
      </c>
      <c r="H84" s="449"/>
      <c r="I84" s="449"/>
    </row>
    <row r="85" spans="1:13" s="441" customFormat="1" ht="20.100000000000001" customHeight="1">
      <c r="A85" s="419"/>
      <c r="B85" s="440">
        <f t="shared" ref="B85:B91" si="11">B84+0.5</f>
        <v>0.5</v>
      </c>
      <c r="C85" s="435" t="s">
        <v>486</v>
      </c>
      <c r="D85" s="441">
        <f>Lead!$Q$27</f>
        <v>0.13614999999999999</v>
      </c>
      <c r="E85" s="420">
        <f t="shared" si="8"/>
        <v>8886.4</v>
      </c>
      <c r="F85" s="420">
        <f t="shared" si="9"/>
        <v>780.67</v>
      </c>
      <c r="G85" s="442">
        <f t="shared" si="10"/>
        <v>10539.76</v>
      </c>
      <c r="H85" s="449"/>
      <c r="I85" s="449"/>
    </row>
    <row r="86" spans="1:13" s="441" customFormat="1" ht="20.100000000000001" customHeight="1">
      <c r="A86" s="419"/>
      <c r="B86" s="440">
        <f t="shared" si="11"/>
        <v>1</v>
      </c>
      <c r="C86" s="435" t="s">
        <v>487</v>
      </c>
      <c r="D86" s="441">
        <f>Lead!$Q$27</f>
        <v>0.13614999999999999</v>
      </c>
      <c r="E86" s="420">
        <f t="shared" si="8"/>
        <v>8886.4</v>
      </c>
      <c r="F86" s="420">
        <f t="shared" si="9"/>
        <v>780.67</v>
      </c>
      <c r="G86" s="442">
        <f t="shared" si="10"/>
        <v>10983.24</v>
      </c>
      <c r="H86" s="449"/>
      <c r="I86" s="449"/>
    </row>
    <row r="87" spans="1:13" s="441" customFormat="1" ht="20.100000000000001" customHeight="1">
      <c r="A87" s="419"/>
      <c r="B87" s="440">
        <f t="shared" si="11"/>
        <v>1.5</v>
      </c>
      <c r="C87" s="435" t="s">
        <v>488</v>
      </c>
      <c r="D87" s="441">
        <f>Lead!$Q$27</f>
        <v>0.13614999999999999</v>
      </c>
      <c r="E87" s="420">
        <f t="shared" si="8"/>
        <v>8886.4</v>
      </c>
      <c r="F87" s="420">
        <f t="shared" si="9"/>
        <v>780.67</v>
      </c>
      <c r="G87" s="442">
        <f t="shared" si="10"/>
        <v>11426.72</v>
      </c>
      <c r="H87" s="449"/>
      <c r="I87" s="449"/>
    </row>
    <row r="88" spans="1:13" s="441" customFormat="1" ht="20.100000000000001" customHeight="1">
      <c r="A88" s="419"/>
      <c r="B88" s="440">
        <f t="shared" si="11"/>
        <v>2</v>
      </c>
      <c r="C88" s="435" t="s">
        <v>489</v>
      </c>
      <c r="D88" s="441">
        <f>Lead!$Q$27</f>
        <v>0.13614999999999999</v>
      </c>
      <c r="E88" s="420">
        <f t="shared" si="8"/>
        <v>8886.4</v>
      </c>
      <c r="F88" s="420">
        <f t="shared" si="9"/>
        <v>780.67</v>
      </c>
      <c r="G88" s="442">
        <f t="shared" si="10"/>
        <v>11870.2</v>
      </c>
      <c r="H88" s="449"/>
      <c r="I88" s="449"/>
    </row>
    <row r="89" spans="1:13" s="441" customFormat="1" ht="20.100000000000001" customHeight="1">
      <c r="A89" s="419"/>
      <c r="B89" s="440">
        <f t="shared" si="11"/>
        <v>2.5</v>
      </c>
      <c r="C89" s="435" t="s">
        <v>490</v>
      </c>
      <c r="D89" s="441">
        <f>Lead!$Q$27</f>
        <v>0.13614999999999999</v>
      </c>
      <c r="E89" s="420">
        <f t="shared" si="8"/>
        <v>8886.4</v>
      </c>
      <c r="F89" s="420">
        <f t="shared" si="9"/>
        <v>780.67</v>
      </c>
      <c r="G89" s="442">
        <f t="shared" si="10"/>
        <v>12313.68</v>
      </c>
      <c r="H89" s="449"/>
      <c r="I89" s="449"/>
    </row>
    <row r="90" spans="1:13" s="441" customFormat="1" ht="20.100000000000001" customHeight="1">
      <c r="A90" s="419"/>
      <c r="B90" s="440">
        <f t="shared" si="11"/>
        <v>3</v>
      </c>
      <c r="C90" s="435" t="s">
        <v>491</v>
      </c>
      <c r="D90" s="441">
        <f>Lead!$Q$27</f>
        <v>0.13614999999999999</v>
      </c>
      <c r="E90" s="420">
        <f t="shared" si="8"/>
        <v>8886.4</v>
      </c>
      <c r="F90" s="420">
        <f t="shared" si="9"/>
        <v>780.67</v>
      </c>
      <c r="G90" s="442">
        <f t="shared" si="10"/>
        <v>12757.16</v>
      </c>
      <c r="H90" s="449"/>
      <c r="I90" s="449"/>
    </row>
    <row r="91" spans="1:13" s="441" customFormat="1" ht="20.100000000000001" customHeight="1">
      <c r="A91" s="419"/>
      <c r="B91" s="440">
        <f t="shared" si="11"/>
        <v>3.5</v>
      </c>
      <c r="C91" s="435" t="s">
        <v>492</v>
      </c>
      <c r="D91" s="441">
        <f>Lead!$Q$27</f>
        <v>0.13614999999999999</v>
      </c>
      <c r="E91" s="420">
        <f t="shared" si="8"/>
        <v>8886.4</v>
      </c>
      <c r="F91" s="420">
        <f t="shared" si="9"/>
        <v>780.67</v>
      </c>
      <c r="G91" s="442">
        <f t="shared" si="10"/>
        <v>13200.64</v>
      </c>
      <c r="H91" s="449"/>
      <c r="I91" s="449"/>
    </row>
    <row r="92" spans="1:13" ht="202.5" customHeight="1">
      <c r="A92" s="419"/>
      <c r="B92" s="164">
        <v>3</v>
      </c>
      <c r="C92" s="170" t="s">
        <v>351</v>
      </c>
      <c r="D92" s="174"/>
      <c r="E92" s="420" t="s">
        <v>446</v>
      </c>
      <c r="F92" s="115"/>
      <c r="G92" s="421"/>
      <c r="H92" s="1613" t="s">
        <v>446</v>
      </c>
      <c r="I92" s="1614"/>
      <c r="J92" s="1613" t="s">
        <v>440</v>
      </c>
      <c r="K92" s="1614"/>
      <c r="L92" s="1613" t="s">
        <v>439</v>
      </c>
      <c r="M92" s="1615"/>
    </row>
    <row r="93" spans="1:13" ht="25.5">
      <c r="A93" s="419"/>
      <c r="B93" s="422"/>
      <c r="C93" s="444" t="s">
        <v>325</v>
      </c>
      <c r="D93" s="174" t="s">
        <v>109</v>
      </c>
      <c r="E93" s="443">
        <v>0.29799999999999999</v>
      </c>
      <c r="F93" s="115">
        <f>'Datas P7'!G226</f>
        <v>5383.2900000000009</v>
      </c>
      <c r="G93" s="423">
        <f>+ROUND(E93*F93,2)</f>
        <v>1604.22</v>
      </c>
      <c r="H93" s="447"/>
      <c r="I93" s="469">
        <v>0.29799999999999999</v>
      </c>
      <c r="J93" s="469"/>
      <c r="K93" s="469">
        <v>0.29799999999999999</v>
      </c>
      <c r="L93" s="469"/>
      <c r="M93" s="469">
        <v>0.29799999999999999</v>
      </c>
    </row>
    <row r="94" spans="1:13" ht="51">
      <c r="A94" s="419"/>
      <c r="B94" s="422"/>
      <c r="C94" s="444" t="s">
        <v>621</v>
      </c>
      <c r="D94" s="174" t="s">
        <v>109</v>
      </c>
      <c r="E94" s="443">
        <v>0.29099999999999998</v>
      </c>
      <c r="F94" s="115">
        <f>'Datas P7'!G287</f>
        <v>8504.4699999999993</v>
      </c>
      <c r="G94" s="423">
        <f>+ROUND(E94*F94,2)</f>
        <v>2474.8000000000002</v>
      </c>
      <c r="H94" s="470">
        <f>ROUND(PI()/4*0.23*0.23*0.23*2,3)</f>
        <v>1.9E-2</v>
      </c>
      <c r="I94" s="470">
        <f>0.31-H94</f>
        <v>0.29099999999999998</v>
      </c>
      <c r="J94" s="470">
        <f>ROUND(PI()/4*0.28*0.28*0.23*2,3)</f>
        <v>2.8000000000000001E-2</v>
      </c>
      <c r="K94" s="470">
        <f>0.31-J94</f>
        <v>0.28199999999999997</v>
      </c>
      <c r="L94" s="470">
        <f>ROUND(PI()/4*0.33*0.33*0.23*2,3)</f>
        <v>3.9E-2</v>
      </c>
      <c r="M94" s="470">
        <f>0.31-L94</f>
        <v>0.27100000000000002</v>
      </c>
    </row>
    <row r="95" spans="1:13" ht="51">
      <c r="A95" s="419"/>
      <c r="B95" s="422"/>
      <c r="C95" s="444" t="s">
        <v>451</v>
      </c>
      <c r="D95" s="174" t="s">
        <v>109</v>
      </c>
      <c r="E95" s="420">
        <v>0.54</v>
      </c>
      <c r="F95" s="115">
        <f>F94</f>
        <v>8504.4699999999993</v>
      </c>
      <c r="G95" s="423">
        <f>+ROUND(E95*F95,2)</f>
        <v>4592.41</v>
      </c>
      <c r="H95" s="469"/>
      <c r="I95" s="469">
        <v>0.54</v>
      </c>
      <c r="J95" s="469"/>
      <c r="K95" s="469">
        <v>0.54</v>
      </c>
      <c r="L95" s="469"/>
      <c r="M95" s="469">
        <v>0.54</v>
      </c>
    </row>
    <row r="96" spans="1:13" ht="63.75">
      <c r="A96" s="419"/>
      <c r="B96" s="422"/>
      <c r="C96" s="444" t="s">
        <v>452</v>
      </c>
      <c r="D96" s="174" t="s">
        <v>326</v>
      </c>
      <c r="E96" s="420">
        <v>4.4000000000000004</v>
      </c>
      <c r="F96" s="115">
        <f>'Datas P7'!G298</f>
        <v>170.45499999999998</v>
      </c>
      <c r="G96" s="423">
        <f>+ROUND(E96*F96/10,2)</f>
        <v>75</v>
      </c>
      <c r="H96" s="469">
        <f>ROUND(PI()/4*0.23*0.23*2,3)</f>
        <v>8.3000000000000004E-2</v>
      </c>
      <c r="I96" s="469">
        <f>1.56+2.92-H96</f>
        <v>4.3970000000000002</v>
      </c>
      <c r="J96" s="469">
        <f>ROUND(PI()/4*0.28*0.28*2,2)</f>
        <v>0.12</v>
      </c>
      <c r="K96" s="469">
        <f>1.56+2.92-J96</f>
        <v>4.3600000000000003</v>
      </c>
      <c r="L96" s="469">
        <f>ROUND(PI()/4*0.33^2*2,2)</f>
        <v>0.17</v>
      </c>
      <c r="M96" s="469">
        <f>1.56+2.92-L96</f>
        <v>4.3100000000000005</v>
      </c>
    </row>
    <row r="97" spans="1:13" ht="63.75">
      <c r="A97" s="419"/>
      <c r="B97" s="422"/>
      <c r="C97" s="444" t="s">
        <v>453</v>
      </c>
      <c r="D97" s="174" t="s">
        <v>326</v>
      </c>
      <c r="E97" s="420">
        <v>3.18</v>
      </c>
      <c r="F97" s="115">
        <f>'Datas P7'!G308</f>
        <v>2594.8599999999997</v>
      </c>
      <c r="G97" s="423">
        <f>+ROUND(E97*F97/10,2)</f>
        <v>825.17</v>
      </c>
      <c r="H97" s="469">
        <f>ROUND(PI()/4*0.2*0.2*2,3)</f>
        <v>6.3E-2</v>
      </c>
      <c r="I97" s="471">
        <f>1.13+2.11-H97</f>
        <v>3.1769999999999996</v>
      </c>
      <c r="J97" s="469">
        <f>ROUND(PI()/4*0.25*0.25*2,3)</f>
        <v>9.8000000000000004E-2</v>
      </c>
      <c r="K97" s="471">
        <f>1.13+2.11-J97</f>
        <v>3.1419999999999999</v>
      </c>
      <c r="L97" s="469">
        <f>ROUND(PI()/4*0.3^2,3)</f>
        <v>7.0999999999999994E-2</v>
      </c>
      <c r="M97" s="471">
        <f>1.13+2.11-L97</f>
        <v>3.1689999999999996</v>
      </c>
    </row>
    <row r="98" spans="1:13" ht="62.25" customHeight="1">
      <c r="A98" s="419"/>
      <c r="B98" s="422"/>
      <c r="C98" s="445" t="s">
        <v>353</v>
      </c>
      <c r="D98" s="174" t="s">
        <v>109</v>
      </c>
      <c r="E98" s="420">
        <v>0.13200000000000001</v>
      </c>
      <c r="F98" s="115">
        <f>'Datas P7'!G258</f>
        <v>6018.18</v>
      </c>
      <c r="G98" s="423">
        <f>+ROUND(E98*F98,2)</f>
        <v>794.4</v>
      </c>
      <c r="H98" s="469">
        <f>ROUND(0.9*0.2*0.2,3)</f>
        <v>3.5999999999999997E-2</v>
      </c>
      <c r="I98" s="469">
        <f>0.13+0.038-H98</f>
        <v>0.13200000000000001</v>
      </c>
      <c r="J98" s="469">
        <f>ROUND(0.9*0.25*0.2,3)</f>
        <v>4.4999999999999998E-2</v>
      </c>
      <c r="K98" s="469">
        <f>0.13+0.038-J98</f>
        <v>0.12300000000000001</v>
      </c>
      <c r="L98" s="469">
        <f>ROUND(0.9*0.3*0.2,3)</f>
        <v>5.3999999999999999E-2</v>
      </c>
      <c r="M98" s="469">
        <f>0.13+0.038-L98</f>
        <v>0.11400000000000002</v>
      </c>
    </row>
    <row r="99" spans="1:13">
      <c r="A99" s="419" t="s">
        <v>128</v>
      </c>
      <c r="B99" s="422"/>
      <c r="C99" s="203" t="s">
        <v>225</v>
      </c>
      <c r="D99" s="174" t="s">
        <v>226</v>
      </c>
      <c r="E99" s="420">
        <v>3</v>
      </c>
      <c r="F99" s="115">
        <v>66</v>
      </c>
      <c r="G99" s="423">
        <f>+ROUND(E99*F99,2)</f>
        <v>198</v>
      </c>
      <c r="H99" s="447"/>
      <c r="I99" s="165"/>
    </row>
    <row r="100" spans="1:13">
      <c r="A100" s="184"/>
      <c r="B100" s="425"/>
      <c r="C100" s="426" t="s">
        <v>106</v>
      </c>
      <c r="D100" s="174" t="s">
        <v>226</v>
      </c>
      <c r="E100" s="420"/>
      <c r="F100" s="115" t="s">
        <v>154</v>
      </c>
      <c r="G100" s="421">
        <f>SUM(G93:G99)</f>
        <v>10564</v>
      </c>
      <c r="H100" s="468"/>
      <c r="I100" s="165"/>
    </row>
    <row r="101" spans="1:13" s="429" customFormat="1">
      <c r="A101" s="427"/>
      <c r="B101" s="152"/>
      <c r="C101" s="159" t="s">
        <v>320</v>
      </c>
      <c r="D101" s="167" t="s">
        <v>109</v>
      </c>
      <c r="E101" s="431">
        <f>ROUND(E93*0.9+E98*0.9,2)</f>
        <v>0.39</v>
      </c>
      <c r="F101" s="98">
        <f>Lead!T19</f>
        <v>75</v>
      </c>
      <c r="G101" s="99">
        <f>ROUND(F101*E101,2)</f>
        <v>29.25</v>
      </c>
      <c r="H101" s="466"/>
      <c r="I101" s="431">
        <f>ROUND(I93*0.9+I98*0.9,2)</f>
        <v>0.39</v>
      </c>
      <c r="J101" s="431"/>
      <c r="K101" s="431">
        <f>ROUND(K93*0.9+K98*0.9,2)</f>
        <v>0.38</v>
      </c>
      <c r="M101" s="431">
        <f>ROUND(M93*0.9+M98*0.9,2)</f>
        <v>0.37</v>
      </c>
    </row>
    <row r="102" spans="1:13" s="429" customFormat="1">
      <c r="A102" s="427"/>
      <c r="B102" s="152"/>
      <c r="C102" s="159" t="s">
        <v>321</v>
      </c>
      <c r="D102" s="167" t="s">
        <v>109</v>
      </c>
      <c r="E102" s="431">
        <f>ROUND((E94+E95)*0.2+(E96*0.015+E97*0.021)+(E93+E98)*0.45,2)</f>
        <v>0.49</v>
      </c>
      <c r="F102" s="98">
        <f>Lead!T10</f>
        <v>90</v>
      </c>
      <c r="G102" s="99">
        <f>ROUND(F102*E102,2)</f>
        <v>44.1</v>
      </c>
      <c r="H102" s="466"/>
      <c r="I102" s="431">
        <f>ROUND((I94+I95)*0.2+(I96*0.015+I97*0.021)+(I93+I98)*0.45,2)</f>
        <v>0.49</v>
      </c>
      <c r="J102" s="431"/>
      <c r="K102" s="431">
        <f>ROUND((K94+K95)*0.2+(K96*0.015+K97*0.021)+(K93+K98)*0.45,2)</f>
        <v>0.49</v>
      </c>
      <c r="M102" s="431">
        <f>ROUND((M94+M95)*0.2+(M96*0.015+M97*0.021)+(M93+M98)*0.45,2)</f>
        <v>0.48</v>
      </c>
    </row>
    <row r="103" spans="1:13" s="429" customFormat="1">
      <c r="A103" s="427"/>
      <c r="B103" s="152"/>
      <c r="C103" s="159" t="s">
        <v>454</v>
      </c>
      <c r="D103" s="167" t="s">
        <v>109</v>
      </c>
      <c r="E103" s="127">
        <f>ROUND((E94+E95)*512,2)</f>
        <v>425.47</v>
      </c>
      <c r="F103" s="98">
        <f>Lead!$O$15</f>
        <v>0</v>
      </c>
      <c r="G103" s="99">
        <f>ROUND(F103*E103/1000,2)</f>
        <v>0</v>
      </c>
      <c r="H103" s="466"/>
      <c r="I103" s="127">
        <f>ROUND((I94+I95)*512,2)</f>
        <v>425.47</v>
      </c>
      <c r="J103" s="127"/>
      <c r="K103" s="127">
        <f>ROUND((K94+K95)*512,2)</f>
        <v>420.86</v>
      </c>
      <c r="M103" s="127">
        <f>ROUND((M94+M95)*512,2)</f>
        <v>415.23</v>
      </c>
    </row>
    <row r="104" spans="1:13" s="429" customFormat="1">
      <c r="A104" s="427"/>
      <c r="B104" s="152"/>
      <c r="C104" s="159" t="s">
        <v>273</v>
      </c>
      <c r="D104" s="167"/>
      <c r="E104" s="127"/>
      <c r="F104" s="98" t="s">
        <v>154</v>
      </c>
      <c r="G104" s="428">
        <f>SUM(G100:G103)</f>
        <v>10637.35</v>
      </c>
      <c r="H104" s="446"/>
    </row>
    <row r="105" spans="1:13" ht="165.75">
      <c r="A105" s="419"/>
      <c r="B105" s="430"/>
      <c r="C105" s="173" t="s">
        <v>150</v>
      </c>
      <c r="D105" s="174"/>
      <c r="E105" s="420"/>
      <c r="F105" s="115"/>
      <c r="G105" s="423"/>
      <c r="H105" s="447"/>
      <c r="I105" s="447"/>
    </row>
    <row r="106" spans="1:13" ht="25.5">
      <c r="A106" s="419"/>
      <c r="B106" s="430"/>
      <c r="C106" s="173" t="s">
        <v>455</v>
      </c>
      <c r="D106" s="174" t="s">
        <v>109</v>
      </c>
      <c r="E106" s="420">
        <v>0.10299999999999999</v>
      </c>
      <c r="F106" s="115">
        <f>'Datas P7'!G287</f>
        <v>8504.4699999999993</v>
      </c>
      <c r="G106" s="423">
        <f>+ROUND(E106*F106,2)</f>
        <v>875.96</v>
      </c>
      <c r="H106" s="447"/>
      <c r="I106" s="447"/>
    </row>
    <row r="107" spans="1:13" ht="25.5">
      <c r="A107" s="419"/>
      <c r="B107" s="430"/>
      <c r="C107" s="173" t="s">
        <v>274</v>
      </c>
      <c r="D107" s="174" t="s">
        <v>224</v>
      </c>
      <c r="E107" s="420">
        <v>0.52</v>
      </c>
      <c r="F107" s="115">
        <f>'Datas P7'!G298</f>
        <v>170.45499999999998</v>
      </c>
      <c r="G107" s="423">
        <f>+ROUND(E107*F107/10,2)</f>
        <v>8.86</v>
      </c>
      <c r="H107" s="447"/>
      <c r="I107" s="447"/>
    </row>
    <row r="108" spans="1:13" ht="25.5">
      <c r="A108" s="419"/>
      <c r="B108" s="430"/>
      <c r="C108" s="173" t="s">
        <v>275</v>
      </c>
      <c r="D108" s="174" t="s">
        <v>224</v>
      </c>
      <c r="E108" s="420">
        <v>0.377</v>
      </c>
      <c r="F108" s="115">
        <f>'Datas P7'!G308</f>
        <v>2594.8599999999997</v>
      </c>
      <c r="G108" s="423">
        <f>+ROUND(E108*F108/10,2)</f>
        <v>97.83</v>
      </c>
      <c r="H108" s="447"/>
      <c r="I108" s="447"/>
    </row>
    <row r="109" spans="1:13">
      <c r="A109" s="419"/>
      <c r="B109" s="430"/>
      <c r="C109" s="426" t="s">
        <v>228</v>
      </c>
      <c r="D109" s="174"/>
      <c r="E109" s="420"/>
      <c r="F109" s="115" t="s">
        <v>154</v>
      </c>
      <c r="G109" s="421">
        <f>SUM(G106:G108)</f>
        <v>982.65000000000009</v>
      </c>
      <c r="H109" s="415"/>
      <c r="I109" s="415"/>
    </row>
    <row r="110" spans="1:13">
      <c r="A110" s="419"/>
      <c r="B110" s="430"/>
      <c r="C110" s="426" t="s">
        <v>441</v>
      </c>
      <c r="D110" s="174"/>
      <c r="E110" s="420"/>
      <c r="F110" s="115"/>
      <c r="G110" s="433"/>
      <c r="H110" s="448"/>
      <c r="I110" s="448"/>
    </row>
    <row r="111" spans="1:13" s="439" customFormat="1" ht="38.25">
      <c r="A111" s="184"/>
      <c r="B111" s="434" t="s">
        <v>443</v>
      </c>
      <c r="C111" s="435" t="s">
        <v>456</v>
      </c>
      <c r="D111" s="436" t="s">
        <v>310</v>
      </c>
      <c r="E111" s="437" t="s">
        <v>442</v>
      </c>
      <c r="F111" s="438" t="s">
        <v>444</v>
      </c>
      <c r="G111" s="421" t="s">
        <v>511</v>
      </c>
      <c r="H111" s="415"/>
      <c r="I111" s="415"/>
    </row>
    <row r="112" spans="1:13" ht="20.100000000000001" customHeight="1">
      <c r="A112" s="419"/>
      <c r="B112" s="440">
        <f t="shared" ref="B112:B120" si="12">B113-0.5</f>
        <v>-5</v>
      </c>
      <c r="C112" s="435" t="s">
        <v>457</v>
      </c>
      <c r="D112" s="441">
        <f>Lead!$Q$27</f>
        <v>0.13614999999999999</v>
      </c>
      <c r="E112" s="420">
        <f>$G$104</f>
        <v>10637.35</v>
      </c>
      <c r="F112" s="420">
        <f>$G$109</f>
        <v>982.65000000000009</v>
      </c>
      <c r="G112" s="442">
        <f t="shared" ref="G112:G118" si="13">ROUND((E112+B112*F112)+(E112+B112*F112)*D112,2)</f>
        <v>6503.44</v>
      </c>
      <c r="H112" s="449"/>
      <c r="I112" s="449"/>
    </row>
    <row r="113" spans="1:9" ht="20.100000000000001" customHeight="1">
      <c r="A113" s="419"/>
      <c r="B113" s="440">
        <f t="shared" si="12"/>
        <v>-4.5</v>
      </c>
      <c r="C113" s="435" t="s">
        <v>458</v>
      </c>
      <c r="D113" s="441">
        <f>Lead!$Q$27</f>
        <v>0.13614999999999999</v>
      </c>
      <c r="E113" s="420">
        <f t="shared" ref="E113:E129" si="14">$G$104</f>
        <v>10637.35</v>
      </c>
      <c r="F113" s="420">
        <f t="shared" ref="F113:F129" si="15">$G$109</f>
        <v>982.65000000000009</v>
      </c>
      <c r="G113" s="442">
        <f t="shared" si="13"/>
        <v>7061.66</v>
      </c>
      <c r="H113" s="449"/>
      <c r="I113" s="449"/>
    </row>
    <row r="114" spans="1:9" ht="20.100000000000001" customHeight="1">
      <c r="A114" s="419"/>
      <c r="B114" s="440">
        <f t="shared" si="12"/>
        <v>-4</v>
      </c>
      <c r="C114" s="435" t="s">
        <v>459</v>
      </c>
      <c r="D114" s="441">
        <f>Lead!$Q$27</f>
        <v>0.13614999999999999</v>
      </c>
      <c r="E114" s="420">
        <f t="shared" si="14"/>
        <v>10637.35</v>
      </c>
      <c r="F114" s="420">
        <f t="shared" si="15"/>
        <v>982.65000000000009</v>
      </c>
      <c r="G114" s="442">
        <f t="shared" si="13"/>
        <v>7619.87</v>
      </c>
      <c r="H114" s="449"/>
      <c r="I114" s="449"/>
    </row>
    <row r="115" spans="1:9" ht="20.100000000000001" customHeight="1">
      <c r="A115" s="419"/>
      <c r="B115" s="440">
        <f t="shared" si="12"/>
        <v>-3.5</v>
      </c>
      <c r="C115" s="435" t="s">
        <v>460</v>
      </c>
      <c r="D115" s="441">
        <f>Lead!$Q$27</f>
        <v>0.13614999999999999</v>
      </c>
      <c r="E115" s="420">
        <f t="shared" si="14"/>
        <v>10637.35</v>
      </c>
      <c r="F115" s="420">
        <f t="shared" si="15"/>
        <v>982.65000000000009</v>
      </c>
      <c r="G115" s="442">
        <f t="shared" si="13"/>
        <v>8178.09</v>
      </c>
      <c r="H115" s="449"/>
      <c r="I115" s="449"/>
    </row>
    <row r="116" spans="1:9" ht="20.100000000000001" customHeight="1">
      <c r="A116" s="419"/>
      <c r="B116" s="440">
        <f t="shared" si="12"/>
        <v>-3</v>
      </c>
      <c r="C116" s="435" t="s">
        <v>461</v>
      </c>
      <c r="D116" s="441">
        <f>Lead!$Q$27</f>
        <v>0.13614999999999999</v>
      </c>
      <c r="E116" s="420">
        <f t="shared" si="14"/>
        <v>10637.35</v>
      </c>
      <c r="F116" s="420">
        <f t="shared" si="15"/>
        <v>982.65000000000009</v>
      </c>
      <c r="G116" s="442">
        <f t="shared" si="13"/>
        <v>8736.31</v>
      </c>
      <c r="H116" s="449"/>
      <c r="I116" s="449"/>
    </row>
    <row r="117" spans="1:9" ht="20.100000000000001" customHeight="1">
      <c r="A117" s="419"/>
      <c r="B117" s="440">
        <f t="shared" si="12"/>
        <v>-2.5</v>
      </c>
      <c r="C117" s="435" t="s">
        <v>462</v>
      </c>
      <c r="D117" s="441">
        <f>Lead!$Q$27</f>
        <v>0.13614999999999999</v>
      </c>
      <c r="E117" s="420">
        <f t="shared" si="14"/>
        <v>10637.35</v>
      </c>
      <c r="F117" s="420">
        <f t="shared" si="15"/>
        <v>982.65000000000009</v>
      </c>
      <c r="G117" s="442">
        <f t="shared" si="13"/>
        <v>9294.5300000000007</v>
      </c>
      <c r="H117" s="449"/>
      <c r="I117" s="449"/>
    </row>
    <row r="118" spans="1:9" ht="20.100000000000001" customHeight="1">
      <c r="A118" s="419"/>
      <c r="B118" s="440">
        <f t="shared" si="12"/>
        <v>-2</v>
      </c>
      <c r="C118" s="435" t="s">
        <v>463</v>
      </c>
      <c r="D118" s="441">
        <f>Lead!$Q$27</f>
        <v>0.13614999999999999</v>
      </c>
      <c r="E118" s="420">
        <f t="shared" si="14"/>
        <v>10637.35</v>
      </c>
      <c r="F118" s="420">
        <f t="shared" si="15"/>
        <v>982.65000000000009</v>
      </c>
      <c r="G118" s="442">
        <f t="shared" si="13"/>
        <v>9852.75</v>
      </c>
      <c r="H118" s="449"/>
      <c r="I118" s="449"/>
    </row>
    <row r="119" spans="1:9" ht="20.100000000000001" customHeight="1">
      <c r="A119" s="419"/>
      <c r="B119" s="440">
        <f t="shared" si="12"/>
        <v>-1.5</v>
      </c>
      <c r="C119" s="435" t="s">
        <v>464</v>
      </c>
      <c r="D119" s="441">
        <f>Lead!$Q$27</f>
        <v>0.13614999999999999</v>
      </c>
      <c r="E119" s="420">
        <f t="shared" si="14"/>
        <v>10637.35</v>
      </c>
      <c r="F119" s="420">
        <f t="shared" si="15"/>
        <v>982.65000000000009</v>
      </c>
      <c r="G119" s="442">
        <f t="shared" ref="G119:G129" si="16">ROUND((E119+B119*F119)+(E119+B119*F119)*D119,2)</f>
        <v>10410.969999999999</v>
      </c>
      <c r="H119" s="449"/>
      <c r="I119" s="449"/>
    </row>
    <row r="120" spans="1:9" ht="20.100000000000001" customHeight="1">
      <c r="A120" s="419"/>
      <c r="B120" s="440">
        <f t="shared" si="12"/>
        <v>-1</v>
      </c>
      <c r="C120" s="435" t="s">
        <v>465</v>
      </c>
      <c r="D120" s="441">
        <f>Lead!$Q$27</f>
        <v>0.13614999999999999</v>
      </c>
      <c r="E120" s="420">
        <f t="shared" si="14"/>
        <v>10637.35</v>
      </c>
      <c r="F120" s="420">
        <f t="shared" si="15"/>
        <v>982.65000000000009</v>
      </c>
      <c r="G120" s="442">
        <f t="shared" si="16"/>
        <v>10969.19</v>
      </c>
      <c r="H120" s="449"/>
      <c r="I120" s="449"/>
    </row>
    <row r="121" spans="1:9" ht="20.100000000000001" customHeight="1">
      <c r="A121" s="419"/>
      <c r="B121" s="440">
        <f>B122-0.5</f>
        <v>-0.5</v>
      </c>
      <c r="C121" s="435" t="s">
        <v>466</v>
      </c>
      <c r="D121" s="441">
        <f>Lead!$Q$27</f>
        <v>0.13614999999999999</v>
      </c>
      <c r="E121" s="420">
        <f t="shared" si="14"/>
        <v>10637.35</v>
      </c>
      <c r="F121" s="420">
        <f t="shared" si="15"/>
        <v>982.65000000000009</v>
      </c>
      <c r="G121" s="442">
        <f t="shared" si="16"/>
        <v>11527.41</v>
      </c>
      <c r="H121" s="449"/>
      <c r="I121" s="449"/>
    </row>
    <row r="122" spans="1:9" ht="20.100000000000001" customHeight="1">
      <c r="A122" s="419"/>
      <c r="B122" s="440">
        <v>0</v>
      </c>
      <c r="C122" s="435" t="s">
        <v>467</v>
      </c>
      <c r="D122" s="441">
        <f>Lead!$Q$27</f>
        <v>0.13614999999999999</v>
      </c>
      <c r="E122" s="420">
        <f t="shared" si="14"/>
        <v>10637.35</v>
      </c>
      <c r="F122" s="420">
        <f t="shared" si="15"/>
        <v>982.65000000000009</v>
      </c>
      <c r="G122" s="442">
        <f t="shared" si="16"/>
        <v>12085.63</v>
      </c>
      <c r="H122" s="449"/>
      <c r="I122" s="449"/>
    </row>
    <row r="123" spans="1:9" ht="20.100000000000001" customHeight="1">
      <c r="A123" s="419"/>
      <c r="B123" s="440">
        <f>B122+0.5</f>
        <v>0.5</v>
      </c>
      <c r="C123" s="435" t="s">
        <v>468</v>
      </c>
      <c r="D123" s="441">
        <f>Lead!$Q$27</f>
        <v>0.13614999999999999</v>
      </c>
      <c r="E123" s="420">
        <f t="shared" si="14"/>
        <v>10637.35</v>
      </c>
      <c r="F123" s="420">
        <f t="shared" si="15"/>
        <v>982.65000000000009</v>
      </c>
      <c r="G123" s="442">
        <f t="shared" si="16"/>
        <v>12643.84</v>
      </c>
      <c r="H123" s="449"/>
      <c r="I123" s="449"/>
    </row>
    <row r="124" spans="1:9" ht="20.100000000000001" customHeight="1">
      <c r="A124" s="419"/>
      <c r="B124" s="440">
        <f t="shared" ref="B124:B129" si="17">B123+0.5</f>
        <v>1</v>
      </c>
      <c r="C124" s="435" t="s">
        <v>469</v>
      </c>
      <c r="D124" s="441">
        <f>Lead!$Q$27</f>
        <v>0.13614999999999999</v>
      </c>
      <c r="E124" s="420">
        <f t="shared" si="14"/>
        <v>10637.35</v>
      </c>
      <c r="F124" s="420">
        <f t="shared" si="15"/>
        <v>982.65000000000009</v>
      </c>
      <c r="G124" s="442">
        <f t="shared" si="16"/>
        <v>13202.06</v>
      </c>
      <c r="H124" s="449"/>
      <c r="I124" s="449"/>
    </row>
    <row r="125" spans="1:9" ht="20.100000000000001" customHeight="1">
      <c r="A125" s="419"/>
      <c r="B125" s="440">
        <f t="shared" si="17"/>
        <v>1.5</v>
      </c>
      <c r="C125" s="435" t="s">
        <v>470</v>
      </c>
      <c r="D125" s="441">
        <f>Lead!$Q$27</f>
        <v>0.13614999999999999</v>
      </c>
      <c r="E125" s="420">
        <f t="shared" si="14"/>
        <v>10637.35</v>
      </c>
      <c r="F125" s="420">
        <f t="shared" si="15"/>
        <v>982.65000000000009</v>
      </c>
      <c r="G125" s="442">
        <f t="shared" si="16"/>
        <v>13760.28</v>
      </c>
      <c r="H125" s="449"/>
      <c r="I125" s="449"/>
    </row>
    <row r="126" spans="1:9" ht="20.100000000000001" customHeight="1">
      <c r="A126" s="419"/>
      <c r="B126" s="440">
        <f t="shared" si="17"/>
        <v>2</v>
      </c>
      <c r="C126" s="435" t="s">
        <v>471</v>
      </c>
      <c r="D126" s="441">
        <f>Lead!$Q$27</f>
        <v>0.13614999999999999</v>
      </c>
      <c r="E126" s="420">
        <f t="shared" si="14"/>
        <v>10637.35</v>
      </c>
      <c r="F126" s="420">
        <f t="shared" si="15"/>
        <v>982.65000000000009</v>
      </c>
      <c r="G126" s="442">
        <f t="shared" si="16"/>
        <v>14318.5</v>
      </c>
      <c r="H126" s="449"/>
      <c r="I126" s="449"/>
    </row>
    <row r="127" spans="1:9" ht="20.100000000000001" customHeight="1">
      <c r="A127" s="419"/>
      <c r="B127" s="440">
        <f t="shared" si="17"/>
        <v>2.5</v>
      </c>
      <c r="C127" s="435" t="s">
        <v>472</v>
      </c>
      <c r="D127" s="441">
        <f>Lead!$Q$27</f>
        <v>0.13614999999999999</v>
      </c>
      <c r="E127" s="420">
        <f t="shared" si="14"/>
        <v>10637.35</v>
      </c>
      <c r="F127" s="420">
        <f t="shared" si="15"/>
        <v>982.65000000000009</v>
      </c>
      <c r="G127" s="442">
        <f t="shared" si="16"/>
        <v>14876.72</v>
      </c>
      <c r="H127" s="449"/>
      <c r="I127" s="449"/>
    </row>
    <row r="128" spans="1:9" ht="20.100000000000001" customHeight="1">
      <c r="A128" s="419"/>
      <c r="B128" s="440">
        <f t="shared" si="17"/>
        <v>3</v>
      </c>
      <c r="C128" s="435" t="s">
        <v>473</v>
      </c>
      <c r="D128" s="441">
        <f>Lead!$Q$27</f>
        <v>0.13614999999999999</v>
      </c>
      <c r="E128" s="420">
        <f t="shared" si="14"/>
        <v>10637.35</v>
      </c>
      <c r="F128" s="420">
        <f t="shared" si="15"/>
        <v>982.65000000000009</v>
      </c>
      <c r="G128" s="442">
        <f t="shared" si="16"/>
        <v>15434.94</v>
      </c>
      <c r="H128" s="449"/>
      <c r="I128" s="449"/>
    </row>
    <row r="129" spans="1:9" ht="20.100000000000001" customHeight="1">
      <c r="A129" s="419"/>
      <c r="B129" s="440">
        <f t="shared" si="17"/>
        <v>3.5</v>
      </c>
      <c r="C129" s="435" t="s">
        <v>474</v>
      </c>
      <c r="D129" s="441">
        <f>Lead!$Q$27</f>
        <v>0.13614999999999999</v>
      </c>
      <c r="E129" s="420">
        <f t="shared" si="14"/>
        <v>10637.35</v>
      </c>
      <c r="F129" s="420">
        <f t="shared" si="15"/>
        <v>982.65000000000009</v>
      </c>
      <c r="G129" s="442">
        <f t="shared" si="16"/>
        <v>15993.16</v>
      </c>
      <c r="H129" s="449"/>
      <c r="I129" s="449"/>
    </row>
    <row r="130" spans="1:9">
      <c r="A130" s="419"/>
      <c r="B130" s="174"/>
      <c r="C130" s="450"/>
      <c r="D130" s="441"/>
      <c r="E130" s="420"/>
      <c r="F130" s="420"/>
      <c r="G130" s="442"/>
      <c r="H130" s="449"/>
      <c r="I130" s="449"/>
    </row>
    <row r="131" spans="1:9" ht="100.5" customHeight="1">
      <c r="A131" s="178"/>
      <c r="B131" s="164">
        <v>4</v>
      </c>
      <c r="C131" s="173" t="s">
        <v>305</v>
      </c>
      <c r="D131" s="174"/>
      <c r="E131" s="127"/>
      <c r="F131" s="98"/>
      <c r="G131" s="103"/>
      <c r="H131" s="283"/>
      <c r="I131" s="283"/>
    </row>
    <row r="132" spans="1:9">
      <c r="A132" s="178" t="s">
        <v>512</v>
      </c>
      <c r="B132" s="164"/>
      <c r="C132" s="173" t="s">
        <v>354</v>
      </c>
      <c r="D132" s="174" t="s">
        <v>226</v>
      </c>
      <c r="E132" s="127">
        <v>1</v>
      </c>
      <c r="F132" s="98">
        <v>1782</v>
      </c>
      <c r="G132" s="102">
        <f>F132*E132</f>
        <v>1782</v>
      </c>
    </row>
    <row r="133" spans="1:9">
      <c r="A133" s="179"/>
      <c r="B133" s="164"/>
      <c r="C133" s="158" t="s">
        <v>0</v>
      </c>
      <c r="D133" s="185"/>
      <c r="E133" s="127">
        <f>G132</f>
        <v>1782</v>
      </c>
      <c r="F133" s="98">
        <f>Lead!Q27</f>
        <v>0.13614999999999999</v>
      </c>
      <c r="G133" s="102">
        <f>ROUND(F133*E133,2)</f>
        <v>242.62</v>
      </c>
    </row>
    <row r="134" spans="1:9">
      <c r="A134" s="179"/>
      <c r="B134" s="164"/>
      <c r="C134" s="158" t="s">
        <v>1</v>
      </c>
      <c r="D134" s="185"/>
      <c r="E134" s="127"/>
      <c r="F134" s="98" t="s">
        <v>154</v>
      </c>
      <c r="G134" s="103">
        <f>SUM(G132:G133)</f>
        <v>2024.62</v>
      </c>
      <c r="H134" s="283"/>
      <c r="I134" s="283"/>
    </row>
    <row r="135" spans="1:9">
      <c r="A135" s="178" t="s">
        <v>512</v>
      </c>
      <c r="B135" s="164"/>
      <c r="C135" s="173" t="s">
        <v>415</v>
      </c>
      <c r="D135" s="174" t="s">
        <v>226</v>
      </c>
      <c r="E135" s="127">
        <v>1</v>
      </c>
      <c r="F135" s="98">
        <v>1802</v>
      </c>
      <c r="G135" s="102">
        <f>F135*E135</f>
        <v>1802</v>
      </c>
    </row>
    <row r="136" spans="1:9">
      <c r="A136" s="179"/>
      <c r="B136" s="164"/>
      <c r="C136" s="158" t="s">
        <v>0</v>
      </c>
      <c r="D136" s="185"/>
      <c r="E136" s="127">
        <f>G135</f>
        <v>1802</v>
      </c>
      <c r="F136" s="98">
        <f>Lead!Q27</f>
        <v>0.13614999999999999</v>
      </c>
      <c r="G136" s="102">
        <f>ROUND(F136*E136,2)</f>
        <v>245.34</v>
      </c>
    </row>
    <row r="137" spans="1:9">
      <c r="A137" s="179"/>
      <c r="B137" s="164"/>
      <c r="C137" s="158" t="s">
        <v>1</v>
      </c>
      <c r="D137" s="185"/>
      <c r="E137" s="127"/>
      <c r="F137" s="98" t="s">
        <v>154</v>
      </c>
      <c r="G137" s="103">
        <f>SUM(G135:G136)</f>
        <v>2047.34</v>
      </c>
      <c r="H137" s="283"/>
      <c r="I137" s="283"/>
    </row>
    <row r="138" spans="1:9">
      <c r="A138" s="178" t="s">
        <v>512</v>
      </c>
      <c r="B138" s="164"/>
      <c r="C138" s="173" t="s">
        <v>306</v>
      </c>
      <c r="D138" s="174" t="s">
        <v>226</v>
      </c>
      <c r="E138" s="127">
        <v>1</v>
      </c>
      <c r="F138" s="98">
        <v>2297</v>
      </c>
      <c r="G138" s="102">
        <f>F138*E138</f>
        <v>2297</v>
      </c>
    </row>
    <row r="139" spans="1:9">
      <c r="A139" s="179"/>
      <c r="B139" s="164"/>
      <c r="C139" s="158" t="s">
        <v>0</v>
      </c>
      <c r="D139" s="185"/>
      <c r="E139" s="127">
        <f>G138</f>
        <v>2297</v>
      </c>
      <c r="F139" s="98">
        <f>Lead!Q27</f>
        <v>0.13614999999999999</v>
      </c>
      <c r="G139" s="102">
        <f>ROUND(F139*E139,2)</f>
        <v>312.74</v>
      </c>
    </row>
    <row r="140" spans="1:9">
      <c r="A140" s="179"/>
      <c r="B140" s="164"/>
      <c r="C140" s="158" t="s">
        <v>1</v>
      </c>
      <c r="D140" s="185"/>
      <c r="E140" s="127"/>
      <c r="F140" s="98" t="s">
        <v>154</v>
      </c>
      <c r="G140" s="103">
        <f>SUM(G138:G139)</f>
        <v>2609.7399999999998</v>
      </c>
      <c r="H140" s="283"/>
      <c r="I140" s="283"/>
    </row>
    <row r="141" spans="1:9" ht="25.5">
      <c r="A141" s="178" t="s">
        <v>512</v>
      </c>
      <c r="B141" s="164"/>
      <c r="C141" s="173" t="s">
        <v>355</v>
      </c>
      <c r="D141" s="174" t="s">
        <v>226</v>
      </c>
      <c r="E141" s="127">
        <v>1</v>
      </c>
      <c r="F141" s="98">
        <v>2464</v>
      </c>
      <c r="G141" s="102">
        <f>F141*E141</f>
        <v>2464</v>
      </c>
    </row>
    <row r="142" spans="1:9">
      <c r="A142" s="179"/>
      <c r="B142" s="164"/>
      <c r="C142" s="158" t="s">
        <v>0</v>
      </c>
      <c r="D142" s="185"/>
      <c r="E142" s="127">
        <f>G141</f>
        <v>2464</v>
      </c>
      <c r="F142" s="98">
        <f>Lead!Q27</f>
        <v>0.13614999999999999</v>
      </c>
      <c r="G142" s="102">
        <f>ROUND(F142*E142,2)</f>
        <v>335.47</v>
      </c>
    </row>
    <row r="143" spans="1:9">
      <c r="A143" s="179"/>
      <c r="B143" s="164"/>
      <c r="C143" s="158" t="s">
        <v>1</v>
      </c>
      <c r="D143" s="185"/>
      <c r="E143" s="127"/>
      <c r="F143" s="98" t="s">
        <v>154</v>
      </c>
      <c r="G143" s="103">
        <f>SUM(G141:G142)</f>
        <v>2799.4700000000003</v>
      </c>
      <c r="H143" s="283"/>
      <c r="I143" s="283"/>
    </row>
    <row r="144" spans="1:9">
      <c r="A144" s="179"/>
      <c r="B144" s="164"/>
      <c r="C144" s="158"/>
      <c r="D144" s="185"/>
      <c r="E144" s="214"/>
      <c r="F144" s="227"/>
      <c r="G144" s="103"/>
      <c r="H144" s="283"/>
      <c r="I144" s="283"/>
    </row>
    <row r="145" spans="1:9">
      <c r="A145" s="179"/>
      <c r="B145" s="164"/>
      <c r="C145" s="158"/>
      <c r="D145" s="185"/>
      <c r="E145" s="214"/>
      <c r="F145" s="227"/>
      <c r="G145" s="103"/>
      <c r="H145" s="283"/>
      <c r="I145" s="283"/>
    </row>
    <row r="146" spans="1:9" ht="38.25">
      <c r="A146" s="179" t="s">
        <v>516</v>
      </c>
      <c r="B146" s="164"/>
      <c r="C146" s="158" t="s">
        <v>517</v>
      </c>
      <c r="D146" s="185"/>
      <c r="E146" s="214">
        <v>1</v>
      </c>
      <c r="F146" s="227">
        <v>464</v>
      </c>
      <c r="G146" s="103">
        <f>F146*E146</f>
        <v>464</v>
      </c>
      <c r="H146" s="283"/>
      <c r="I146" s="283"/>
    </row>
    <row r="147" spans="1:9">
      <c r="A147" s="179"/>
      <c r="B147" s="164"/>
      <c r="C147" s="158"/>
      <c r="D147" s="185"/>
      <c r="E147" s="214"/>
      <c r="F147" s="227"/>
      <c r="G147" s="103"/>
      <c r="H147" s="283"/>
      <c r="I147" s="283"/>
    </row>
    <row r="148" spans="1:9" ht="38.25">
      <c r="A148" s="179" t="s">
        <v>520</v>
      </c>
      <c r="B148" s="164"/>
      <c r="C148" s="158" t="s">
        <v>518</v>
      </c>
      <c r="D148" s="185"/>
      <c r="E148" s="214"/>
      <c r="F148" s="227"/>
      <c r="G148" s="103"/>
      <c r="H148" s="283"/>
      <c r="I148" s="283"/>
    </row>
    <row r="149" spans="1:9">
      <c r="A149" s="179"/>
      <c r="B149" s="164"/>
      <c r="C149" s="158" t="s">
        <v>519</v>
      </c>
      <c r="D149" s="185" t="s">
        <v>10</v>
      </c>
      <c r="E149" s="214">
        <v>2.44</v>
      </c>
      <c r="F149" s="227">
        <f>Lead!R24</f>
        <v>445</v>
      </c>
      <c r="G149" s="103">
        <f>F149*E149</f>
        <v>1085.8</v>
      </c>
      <c r="H149" s="283"/>
      <c r="I149" s="283"/>
    </row>
    <row r="150" spans="1:9">
      <c r="A150" s="179"/>
      <c r="B150" s="164"/>
      <c r="C150" s="158"/>
      <c r="D150" s="185"/>
      <c r="E150" s="214"/>
      <c r="F150" s="227"/>
      <c r="G150" s="103" t="s">
        <v>521</v>
      </c>
      <c r="H150" s="283"/>
      <c r="I150" s="283"/>
    </row>
    <row r="151" spans="1:9">
      <c r="A151" s="179"/>
      <c r="B151" s="164"/>
      <c r="C151" s="158"/>
      <c r="D151" s="185"/>
      <c r="E151" s="214"/>
      <c r="F151" s="227"/>
      <c r="G151" s="103"/>
      <c r="H151" s="283"/>
      <c r="I151" s="283"/>
    </row>
    <row r="152" spans="1:9">
      <c r="A152" s="179"/>
      <c r="B152" s="164"/>
      <c r="C152" s="158"/>
      <c r="D152" s="185"/>
      <c r="E152" s="214"/>
      <c r="F152" s="227"/>
      <c r="G152" s="103"/>
      <c r="H152" s="283"/>
      <c r="I152" s="283"/>
    </row>
    <row r="153" spans="1:9">
      <c r="A153" s="179"/>
      <c r="B153" s="164"/>
      <c r="C153" s="158"/>
      <c r="D153" s="185"/>
      <c r="E153" s="214"/>
      <c r="F153" s="227"/>
      <c r="G153" s="103"/>
      <c r="H153" s="283"/>
      <c r="I153" s="283"/>
    </row>
    <row r="154" spans="1:9">
      <c r="A154" s="179"/>
      <c r="B154" s="164"/>
      <c r="C154" s="158"/>
      <c r="D154" s="185"/>
      <c r="E154" s="214"/>
      <c r="F154" s="227"/>
      <c r="G154" s="103"/>
      <c r="H154" s="283"/>
      <c r="I154" s="283"/>
    </row>
    <row r="155" spans="1:9">
      <c r="A155" s="178"/>
      <c r="B155" s="164"/>
      <c r="C155" s="173"/>
      <c r="D155" s="174"/>
      <c r="E155" s="214"/>
      <c r="F155" s="227"/>
      <c r="G155" s="103"/>
      <c r="H155" s="283"/>
      <c r="I155" s="283"/>
    </row>
    <row r="156" spans="1:9">
      <c r="A156" s="451"/>
      <c r="B156" s="452">
        <f>Lead!B47</f>
        <v>0</v>
      </c>
      <c r="C156" s="430"/>
      <c r="D156" s="452">
        <f>Lead!K47</f>
        <v>0</v>
      </c>
      <c r="E156" s="174"/>
      <c r="F156" s="430"/>
      <c r="G156" s="453"/>
      <c r="H156" s="454"/>
      <c r="I156" s="454"/>
    </row>
    <row r="157" spans="1:9">
      <c r="A157" s="455"/>
      <c r="B157" s="456">
        <f>Lead!B48</f>
        <v>0</v>
      </c>
      <c r="C157" s="457"/>
      <c r="D157" s="456">
        <f>Lead!K48</f>
        <v>0</v>
      </c>
      <c r="E157" s="458"/>
      <c r="F157" s="430"/>
      <c r="G157" s="459"/>
      <c r="H157" s="454"/>
      <c r="I157" s="454"/>
    </row>
    <row r="158" spans="1:9">
      <c r="A158" s="460"/>
      <c r="B158" s="461"/>
      <c r="C158" s="461"/>
    </row>
    <row r="159" spans="1:9">
      <c r="A159" s="460"/>
      <c r="B159" s="461"/>
      <c r="C159" s="461"/>
    </row>
    <row r="160" spans="1:9">
      <c r="A160" s="460"/>
      <c r="B160" s="461"/>
      <c r="C160" s="463"/>
    </row>
    <row r="161" spans="1:3">
      <c r="A161" s="460"/>
      <c r="B161" s="461"/>
      <c r="C161" s="461" t="e">
        <f>'Datas P7'!#REF!</f>
        <v>#REF!</v>
      </c>
    </row>
    <row r="162" spans="1:3">
      <c r="A162" s="460"/>
      <c r="B162" s="461"/>
      <c r="C162" s="461" t="e">
        <f>'Datas P7'!#REF!</f>
        <v>#REF!</v>
      </c>
    </row>
    <row r="163" spans="1:3">
      <c r="A163" s="460"/>
      <c r="B163" s="461"/>
      <c r="C163" s="461"/>
    </row>
    <row r="164" spans="1:3">
      <c r="A164" s="460"/>
      <c r="B164" s="461"/>
      <c r="C164" s="461"/>
    </row>
    <row r="165" spans="1:3">
      <c r="A165" s="460"/>
      <c r="B165" s="461"/>
      <c r="C165" s="461"/>
    </row>
    <row r="166" spans="1:3">
      <c r="A166" s="460"/>
      <c r="B166" s="461"/>
      <c r="C166" s="461"/>
    </row>
    <row r="167" spans="1:3">
      <c r="A167" s="460"/>
      <c r="C167" s="461"/>
    </row>
    <row r="168" spans="1:3">
      <c r="A168" s="460"/>
      <c r="C168" s="461"/>
    </row>
    <row r="169" spans="1:3">
      <c r="A169" s="460"/>
      <c r="C169" s="461"/>
    </row>
    <row r="170" spans="1:3">
      <c r="A170" s="460"/>
      <c r="C170" s="461"/>
    </row>
    <row r="171" spans="1:3">
      <c r="A171" s="460"/>
      <c r="C171" s="461"/>
    </row>
    <row r="172" spans="1:3">
      <c r="A172" s="460"/>
      <c r="C172" s="461"/>
    </row>
    <row r="173" spans="1:3">
      <c r="A173" s="460"/>
      <c r="C173" s="461"/>
    </row>
    <row r="174" spans="1:3">
      <c r="A174" s="460"/>
      <c r="C174" s="461"/>
    </row>
    <row r="175" spans="1:3">
      <c r="A175" s="460"/>
      <c r="C175" s="461"/>
    </row>
    <row r="176" spans="1:3">
      <c r="A176" s="460"/>
      <c r="C176" s="461"/>
    </row>
    <row r="177" spans="1:3">
      <c r="A177" s="460"/>
      <c r="C177" s="461"/>
    </row>
    <row r="178" spans="1:3">
      <c r="A178" s="460"/>
      <c r="C178" s="461"/>
    </row>
    <row r="179" spans="1:3">
      <c r="A179" s="460"/>
      <c r="C179" s="461"/>
    </row>
    <row r="180" spans="1:3">
      <c r="A180" s="460"/>
      <c r="C180" s="461"/>
    </row>
    <row r="181" spans="1:3">
      <c r="A181" s="460"/>
      <c r="C181" s="461"/>
    </row>
    <row r="182" spans="1:3">
      <c r="A182" s="460"/>
      <c r="C182" s="461"/>
    </row>
  </sheetData>
  <mergeCells count="12">
    <mergeCell ref="L6:M6"/>
    <mergeCell ref="A1:G1"/>
    <mergeCell ref="A2:G2"/>
    <mergeCell ref="A3:G3"/>
    <mergeCell ref="H6:I6"/>
    <mergeCell ref="J6:K6"/>
    <mergeCell ref="H50:I50"/>
    <mergeCell ref="J50:K50"/>
    <mergeCell ref="L50:M50"/>
    <mergeCell ref="H92:I92"/>
    <mergeCell ref="J92:K92"/>
    <mergeCell ref="L92:M92"/>
  </mergeCells>
  <printOptions horizontalCentered="1" gridLines="1"/>
  <pageMargins left="0.23622047244094491" right="0.11811023622047245" top="0.27559055118110237" bottom="0.39370078740157483" header="0.23622047244094491" footer="0.15748031496062992"/>
  <pageSetup paperSize="9" scale="80" orientation="portrait" r:id="rId1"/>
  <headerFooter alignWithMargins="0">
    <oddFooter>&amp;CKarthikeya Associates</oddFooter>
  </headerFooter>
  <legacyDrawing r:id="rId2"/>
</worksheet>
</file>

<file path=xl/worksheets/sheet18.xml><?xml version="1.0" encoding="utf-8"?>
<worksheet xmlns="http://schemas.openxmlformats.org/spreadsheetml/2006/main" xmlns:r="http://schemas.openxmlformats.org/officeDocument/2006/relationships">
  <dimension ref="A1:T50"/>
  <sheetViews>
    <sheetView view="pageBreakPreview" zoomScale="85" zoomScaleNormal="70" zoomScaleSheetLayoutView="85" workbookViewId="0">
      <pane ySplit="6" topLeftCell="A31" activePane="bottomLeft" state="frozen"/>
      <selection pane="bottomLeft" activeCell="B13" sqref="B13"/>
    </sheetView>
  </sheetViews>
  <sheetFormatPr defaultColWidth="9.140625" defaultRowHeight="15"/>
  <cols>
    <col min="1" max="1" width="8.140625" style="369" customWidth="1"/>
    <col min="2" max="2" width="33.140625" style="365" customWidth="1"/>
    <col min="3" max="3" width="6.140625" style="365" customWidth="1"/>
    <col min="4" max="4" width="5.140625" style="365" customWidth="1"/>
    <col min="5" max="5" width="14.28515625" style="369" customWidth="1"/>
    <col min="6" max="6" width="14" style="369" customWidth="1"/>
    <col min="7" max="7" width="10.85546875" style="369" customWidth="1"/>
    <col min="8" max="8" width="8.42578125" style="369" customWidth="1"/>
    <col min="9" max="9" width="8.85546875" style="365" customWidth="1"/>
    <col min="10" max="10" width="10.85546875" style="365" customWidth="1"/>
    <col min="11" max="11" width="9.42578125" style="365" customWidth="1"/>
    <col min="12" max="15" width="10" style="365" customWidth="1"/>
    <col min="16" max="16" width="10.42578125" style="365" customWidth="1"/>
    <col min="17" max="17" width="8.42578125" style="365" customWidth="1"/>
    <col min="18" max="18" width="9.140625" style="365" customWidth="1"/>
    <col min="19" max="19" width="10" style="365" hidden="1" customWidth="1"/>
    <col min="20" max="20" width="9.140625" style="365"/>
    <col min="21" max="21" width="13.42578125" style="365" bestFit="1" customWidth="1"/>
    <col min="22" max="16384" width="9.140625" style="365"/>
  </cols>
  <sheetData>
    <row r="1" spans="1:20" ht="18.75">
      <c r="A1" s="1620" t="s">
        <v>622</v>
      </c>
      <c r="B1" s="1621"/>
      <c r="C1" s="1621"/>
      <c r="D1" s="1621"/>
      <c r="E1" s="1621"/>
      <c r="F1" s="1621"/>
      <c r="G1" s="1621"/>
      <c r="H1" s="1621"/>
      <c r="I1" s="1621"/>
      <c r="J1" s="1621"/>
      <c r="K1" s="1621"/>
      <c r="L1" s="1621"/>
      <c r="M1" s="1621"/>
      <c r="N1" s="1621"/>
      <c r="O1" s="1621"/>
      <c r="P1" s="1621"/>
      <c r="Q1" s="1621"/>
      <c r="R1" s="1621"/>
      <c r="S1" s="1621"/>
    </row>
    <row r="2" spans="1:20" ht="23.25">
      <c r="A2" s="366"/>
      <c r="B2" s="367"/>
      <c r="C2" s="368"/>
      <c r="D2" s="368"/>
      <c r="E2" s="368"/>
      <c r="G2" s="367"/>
      <c r="H2" s="368"/>
      <c r="I2" s="368"/>
      <c r="J2" s="367"/>
      <c r="K2" s="368"/>
      <c r="L2" s="368"/>
      <c r="M2" s="368"/>
      <c r="N2" s="368"/>
      <c r="O2" s="368"/>
      <c r="P2" s="368"/>
      <c r="Q2" s="368"/>
      <c r="R2" s="368"/>
      <c r="S2" s="368"/>
    </row>
    <row r="3" spans="1:20" ht="18" customHeight="1">
      <c r="A3" s="1623" t="s">
        <v>725</v>
      </c>
      <c r="B3" s="1624"/>
      <c r="C3" s="370"/>
      <c r="E3" s="408"/>
      <c r="F3" s="370"/>
      <c r="G3" s="370"/>
      <c r="H3" s="370"/>
      <c r="I3" s="371"/>
      <c r="J3" s="370"/>
      <c r="K3" s="371"/>
      <c r="L3" s="371"/>
      <c r="M3" s="371"/>
      <c r="O3" s="371"/>
      <c r="P3" s="371"/>
      <c r="Q3" s="370"/>
      <c r="R3" s="370"/>
      <c r="S3" s="370"/>
    </row>
    <row r="4" spans="1:20" s="398" customFormat="1" ht="53.25" customHeight="1">
      <c r="A4" s="1622" t="s">
        <v>99</v>
      </c>
      <c r="B4" s="1622" t="s">
        <v>100</v>
      </c>
      <c r="C4" s="400" t="s">
        <v>101</v>
      </c>
      <c r="D4" s="400" t="s">
        <v>102</v>
      </c>
      <c r="E4" s="1622" t="s">
        <v>124</v>
      </c>
      <c r="F4" s="1622" t="s">
        <v>151</v>
      </c>
      <c r="G4" s="1622" t="s">
        <v>152</v>
      </c>
      <c r="H4" s="1622" t="s">
        <v>103</v>
      </c>
      <c r="I4" s="1622" t="s">
        <v>105</v>
      </c>
      <c r="J4" s="1622"/>
      <c r="K4" s="1622"/>
      <c r="L4" s="1622" t="s">
        <v>104</v>
      </c>
      <c r="M4" s="1622"/>
      <c r="N4" s="1622"/>
      <c r="O4" s="1622"/>
      <c r="P4" s="1619" t="s">
        <v>43</v>
      </c>
      <c r="Q4" s="1619" t="s">
        <v>44</v>
      </c>
      <c r="R4" s="1619" t="s">
        <v>106</v>
      </c>
      <c r="S4" s="403"/>
      <c r="T4" s="1619" t="s">
        <v>525</v>
      </c>
    </row>
    <row r="5" spans="1:20" s="398" customFormat="1" ht="33.75" customHeight="1">
      <c r="A5" s="1622"/>
      <c r="B5" s="1622"/>
      <c r="C5" s="400"/>
      <c r="D5" s="401"/>
      <c r="E5" s="1622"/>
      <c r="F5" s="1622"/>
      <c r="G5" s="1622"/>
      <c r="H5" s="1622"/>
      <c r="I5" s="402" t="s">
        <v>23</v>
      </c>
      <c r="J5" s="402" t="s">
        <v>397</v>
      </c>
      <c r="K5" s="402" t="s">
        <v>22</v>
      </c>
      <c r="L5" s="402" t="s">
        <v>267</v>
      </c>
      <c r="M5" s="402" t="s">
        <v>419</v>
      </c>
      <c r="N5" s="402" t="s">
        <v>418</v>
      </c>
      <c r="O5" s="402" t="s">
        <v>526</v>
      </c>
      <c r="P5" s="1619"/>
      <c r="Q5" s="1619"/>
      <c r="R5" s="1619"/>
      <c r="S5" s="403"/>
      <c r="T5" s="1619"/>
    </row>
    <row r="6" spans="1:20" s="372" customFormat="1" ht="16.5">
      <c r="A6" s="341">
        <v>1</v>
      </c>
      <c r="B6" s="341">
        <v>2</v>
      </c>
      <c r="C6" s="341">
        <v>2</v>
      </c>
      <c r="D6" s="341">
        <v>2</v>
      </c>
      <c r="E6" s="341">
        <v>3</v>
      </c>
      <c r="F6" s="341">
        <v>4</v>
      </c>
      <c r="G6" s="341">
        <v>5</v>
      </c>
      <c r="H6" s="341">
        <v>6</v>
      </c>
      <c r="I6" s="341">
        <f t="shared" ref="I6:R6" si="0">H6+1</f>
        <v>7</v>
      </c>
      <c r="J6" s="341">
        <f t="shared" si="0"/>
        <v>8</v>
      </c>
      <c r="K6" s="341">
        <f t="shared" si="0"/>
        <v>9</v>
      </c>
      <c r="L6" s="341">
        <f t="shared" si="0"/>
        <v>10</v>
      </c>
      <c r="M6" s="341">
        <f t="shared" si="0"/>
        <v>11</v>
      </c>
      <c r="N6" s="341">
        <f>M6+1</f>
        <v>12</v>
      </c>
      <c r="O6" s="341">
        <f>N6+1</f>
        <v>13</v>
      </c>
      <c r="P6" s="341">
        <f>N6+1</f>
        <v>13</v>
      </c>
      <c r="Q6" s="341">
        <f t="shared" si="0"/>
        <v>14</v>
      </c>
      <c r="R6" s="341">
        <f t="shared" si="0"/>
        <v>15</v>
      </c>
    </row>
    <row r="7" spans="1:20" s="372" customFormat="1" ht="16.5">
      <c r="A7" s="341"/>
      <c r="B7" s="341"/>
      <c r="C7" s="341"/>
      <c r="D7" s="342"/>
      <c r="E7" s="341"/>
      <c r="F7" s="342"/>
      <c r="G7" s="342"/>
      <c r="H7" s="341"/>
      <c r="I7" s="341"/>
      <c r="J7" s="341"/>
      <c r="K7" s="341"/>
      <c r="L7" s="341"/>
      <c r="M7" s="341"/>
      <c r="N7" s="341"/>
      <c r="O7" s="341"/>
      <c r="P7" s="341"/>
      <c r="Q7" s="341"/>
      <c r="R7" s="341"/>
    </row>
    <row r="8" spans="1:20" s="373" customFormat="1" ht="30" customHeight="1">
      <c r="A8" s="343">
        <v>1</v>
      </c>
      <c r="B8" s="344" t="s">
        <v>107</v>
      </c>
      <c r="C8" s="345"/>
      <c r="D8" s="346"/>
      <c r="E8" s="345" t="s">
        <v>123</v>
      </c>
      <c r="F8" s="346"/>
      <c r="G8" s="346"/>
      <c r="H8" s="347" t="s">
        <v>108</v>
      </c>
      <c r="I8" s="347">
        <v>0</v>
      </c>
      <c r="J8" s="347"/>
      <c r="K8" s="347"/>
      <c r="L8" s="348">
        <v>4300</v>
      </c>
      <c r="M8" s="348"/>
      <c r="N8" s="348"/>
      <c r="O8" s="348"/>
      <c r="P8" s="347"/>
      <c r="Q8" s="349">
        <v>0</v>
      </c>
      <c r="R8" s="348" t="e">
        <f>#REF!</f>
        <v>#REF!</v>
      </c>
    </row>
    <row r="9" spans="1:20" s="373" customFormat="1" ht="30" customHeight="1">
      <c r="A9" s="343">
        <v>2</v>
      </c>
      <c r="B9" s="344" t="s">
        <v>529</v>
      </c>
      <c r="C9" s="345"/>
      <c r="D9" s="346"/>
      <c r="E9" s="345" t="s">
        <v>123</v>
      </c>
      <c r="F9" s="346"/>
      <c r="G9" s="346"/>
      <c r="H9" s="347" t="s">
        <v>108</v>
      </c>
      <c r="I9" s="347">
        <v>0</v>
      </c>
      <c r="J9" s="347"/>
      <c r="K9" s="347"/>
      <c r="L9" s="348">
        <v>34500</v>
      </c>
      <c r="M9" s="348"/>
      <c r="N9" s="348"/>
      <c r="O9" s="348"/>
      <c r="P9" s="347"/>
      <c r="Q9" s="349">
        <v>0</v>
      </c>
      <c r="R9" s="348">
        <f>Q9+L9</f>
        <v>34500</v>
      </c>
    </row>
    <row r="10" spans="1:20" s="373" customFormat="1" ht="30" customHeight="1">
      <c r="A10" s="343">
        <v>3</v>
      </c>
      <c r="B10" s="344" t="s">
        <v>515</v>
      </c>
      <c r="C10" s="350"/>
      <c r="D10" s="351" t="s">
        <v>109</v>
      </c>
      <c r="E10" s="494"/>
      <c r="F10" s="352"/>
      <c r="G10" s="352"/>
      <c r="H10" s="349">
        <v>160</v>
      </c>
      <c r="I10" s="348">
        <f>LOOKUP(H10,' Conv 19_20'!$A$4:$B$303)</f>
        <v>1948</v>
      </c>
      <c r="J10" s="348">
        <f t="shared" ref="J10:J21" si="1">ROUND(I10*(1-1/1.13615),2)</f>
        <v>233.44</v>
      </c>
      <c r="K10" s="348">
        <f>I10-J10</f>
        <v>1714.56</v>
      </c>
      <c r="L10" s="349">
        <v>760</v>
      </c>
      <c r="M10" s="349"/>
      <c r="N10" s="349"/>
      <c r="O10" s="347">
        <v>0</v>
      </c>
      <c r="P10" s="347"/>
      <c r="Q10" s="349">
        <v>0</v>
      </c>
      <c r="R10" s="348">
        <f>Q10+L10+K10</f>
        <v>2474.56</v>
      </c>
      <c r="T10" s="347">
        <v>90</v>
      </c>
    </row>
    <row r="11" spans="1:20" s="373" customFormat="1" ht="30" customHeight="1">
      <c r="A11" s="343">
        <v>4</v>
      </c>
      <c r="B11" s="344" t="s">
        <v>412</v>
      </c>
      <c r="C11" s="350"/>
      <c r="D11" s="351" t="s">
        <v>109</v>
      </c>
      <c r="E11" s="409"/>
      <c r="F11" s="352"/>
      <c r="G11" s="352"/>
      <c r="H11" s="349">
        <v>160</v>
      </c>
      <c r="I11" s="348">
        <f>LOOKUP(H11,' Conv 19_20'!$A$4:$B$303)</f>
        <v>1948</v>
      </c>
      <c r="J11" s="348">
        <f t="shared" si="1"/>
        <v>233.44</v>
      </c>
      <c r="K11" s="348">
        <f t="shared" ref="K11:K21" si="2">I11-J11</f>
        <v>1714.56</v>
      </c>
      <c r="L11" s="349">
        <v>570</v>
      </c>
      <c r="M11" s="349"/>
      <c r="N11" s="349"/>
      <c r="O11" s="347">
        <v>0</v>
      </c>
      <c r="P11" s="347"/>
      <c r="Q11" s="349">
        <v>0</v>
      </c>
      <c r="R11" s="348">
        <f>Q11+L11+K11</f>
        <v>2284.56</v>
      </c>
      <c r="T11" s="347">
        <v>90</v>
      </c>
    </row>
    <row r="12" spans="1:20" s="373" customFormat="1" ht="30" customHeight="1">
      <c r="A12" s="343">
        <v>5</v>
      </c>
      <c r="B12" s="344" t="s">
        <v>872</v>
      </c>
      <c r="C12" s="350"/>
      <c r="D12" s="351" t="s">
        <v>109</v>
      </c>
      <c r="E12" s="409"/>
      <c r="F12" s="352"/>
      <c r="G12" s="352"/>
      <c r="H12" s="349">
        <v>10</v>
      </c>
      <c r="I12" s="348">
        <f>LOOKUP(H12,' Conv 19_20'!$A$4:$B$303)</f>
        <v>162</v>
      </c>
      <c r="J12" s="348">
        <f t="shared" si="1"/>
        <v>19.41</v>
      </c>
      <c r="K12" s="348">
        <f>I12-J12</f>
        <v>142.59</v>
      </c>
      <c r="L12" s="349">
        <v>570</v>
      </c>
      <c r="M12" s="349"/>
      <c r="N12" s="349"/>
      <c r="O12" s="347"/>
      <c r="P12" s="347"/>
      <c r="Q12" s="349"/>
      <c r="R12" s="348">
        <f>SUM(K12:Q12)</f>
        <v>712.59</v>
      </c>
      <c r="T12" s="347"/>
    </row>
    <row r="13" spans="1:20" s="373" customFormat="1" ht="30" customHeight="1">
      <c r="A13" s="343">
        <v>6</v>
      </c>
      <c r="B13" s="344" t="s">
        <v>636</v>
      </c>
      <c r="C13" s="350"/>
      <c r="D13" s="351"/>
      <c r="E13" s="409"/>
      <c r="F13" s="352"/>
      <c r="G13" s="352"/>
      <c r="H13" s="349"/>
      <c r="I13" s="348"/>
      <c r="J13" s="348"/>
      <c r="K13" s="348"/>
      <c r="L13" s="349"/>
      <c r="M13" s="349"/>
      <c r="N13" s="349"/>
      <c r="O13" s="347"/>
      <c r="P13" s="347"/>
      <c r="Q13" s="349"/>
      <c r="R13" s="348">
        <f>AVERAGE(R10,R12)</f>
        <v>1593.575</v>
      </c>
      <c r="T13" s="347"/>
    </row>
    <row r="14" spans="1:20" s="373" customFormat="1" ht="30" customHeight="1">
      <c r="A14" s="343">
        <v>7</v>
      </c>
      <c r="B14" s="344" t="s">
        <v>637</v>
      </c>
      <c r="C14" s="350"/>
      <c r="D14" s="351"/>
      <c r="E14" s="409"/>
      <c r="F14" s="352"/>
      <c r="G14" s="352"/>
      <c r="H14" s="349"/>
      <c r="I14" s="348"/>
      <c r="J14" s="348"/>
      <c r="K14" s="348"/>
      <c r="L14" s="349"/>
      <c r="M14" s="349"/>
      <c r="N14" s="349"/>
      <c r="O14" s="347"/>
      <c r="P14" s="347"/>
      <c r="Q14" s="349"/>
      <c r="R14" s="348">
        <f>AVERAGE(R11:R12)</f>
        <v>1498.575</v>
      </c>
      <c r="T14" s="347"/>
    </row>
    <row r="15" spans="1:20" s="373" customFormat="1" ht="61.5" customHeight="1">
      <c r="A15" s="343">
        <v>8</v>
      </c>
      <c r="B15" s="353" t="s">
        <v>530</v>
      </c>
      <c r="C15" s="352"/>
      <c r="D15" s="351" t="s">
        <v>307</v>
      </c>
      <c r="E15" s="409"/>
      <c r="F15" s="404"/>
      <c r="G15" s="352"/>
      <c r="H15" s="349">
        <v>20</v>
      </c>
      <c r="I15" s="348">
        <f>LOOKUP(H15,' Conv 19_20'!$J$4:$K$303)</f>
        <v>485.5</v>
      </c>
      <c r="J15" s="348">
        <f t="shared" si="1"/>
        <v>58.18</v>
      </c>
      <c r="K15" s="348">
        <f t="shared" si="2"/>
        <v>427.32</v>
      </c>
      <c r="L15" s="347">
        <v>6000</v>
      </c>
      <c r="M15" s="347"/>
      <c r="N15" s="347"/>
      <c r="O15" s="347">
        <v>0</v>
      </c>
      <c r="P15" s="349">
        <v>65.900000000000006</v>
      </c>
      <c r="Q15" s="349">
        <v>65.900000000000006</v>
      </c>
      <c r="R15" s="348">
        <f>Q15+P15+L15+K15</f>
        <v>6559.12</v>
      </c>
      <c r="T15" s="347">
        <v>0</v>
      </c>
    </row>
    <row r="16" spans="1:20" s="373" customFormat="1" ht="61.5" customHeight="1">
      <c r="A16" s="343">
        <v>9</v>
      </c>
      <c r="B16" s="353" t="s">
        <v>639</v>
      </c>
      <c r="C16" s="352"/>
      <c r="D16" s="351" t="s">
        <v>307</v>
      </c>
      <c r="E16" s="497"/>
      <c r="F16" s="404"/>
      <c r="G16" s="352"/>
      <c r="H16" s="349">
        <v>50</v>
      </c>
      <c r="I16" s="348">
        <f>LOOKUP(H16,Conveyance!J4:K303)</f>
        <v>980.59999999999945</v>
      </c>
      <c r="J16" s="348">
        <f t="shared" si="1"/>
        <v>117.51</v>
      </c>
      <c r="K16" s="348">
        <f t="shared" si="2"/>
        <v>863.08999999999946</v>
      </c>
      <c r="L16" s="347">
        <v>5700</v>
      </c>
      <c r="M16" s="347"/>
      <c r="N16" s="347"/>
      <c r="O16" s="347"/>
      <c r="P16" s="349">
        <f>P15</f>
        <v>65.900000000000006</v>
      </c>
      <c r="Q16" s="349">
        <f>Q15</f>
        <v>65.900000000000006</v>
      </c>
      <c r="R16" s="348">
        <f>SUM(K16:Q16)</f>
        <v>6694.8899999999985</v>
      </c>
      <c r="T16" s="347"/>
    </row>
    <row r="17" spans="1:20" s="373" customFormat="1" ht="30" customHeight="1">
      <c r="A17" s="343">
        <v>10</v>
      </c>
      <c r="B17" s="354" t="s">
        <v>40</v>
      </c>
      <c r="C17" s="355"/>
      <c r="D17" s="351" t="s">
        <v>109</v>
      </c>
      <c r="E17" s="406"/>
      <c r="F17" s="352"/>
      <c r="G17" s="352"/>
      <c r="H17" s="349">
        <v>10</v>
      </c>
      <c r="I17" s="348">
        <f>LOOKUP(H17,' Conv 19_20'!$A$4:$B$303)</f>
        <v>162</v>
      </c>
      <c r="J17" s="348">
        <f t="shared" si="1"/>
        <v>19.41</v>
      </c>
      <c r="K17" s="348">
        <f t="shared" si="2"/>
        <v>142.59</v>
      </c>
      <c r="L17" s="347">
        <v>505</v>
      </c>
      <c r="M17" s="347">
        <v>155</v>
      </c>
      <c r="N17" s="347">
        <v>70</v>
      </c>
      <c r="O17" s="347">
        <v>0</v>
      </c>
      <c r="P17" s="347"/>
      <c r="Q17" s="347"/>
      <c r="R17" s="348">
        <f>N17+M17+L17+K17</f>
        <v>872.59</v>
      </c>
      <c r="T17" s="347">
        <v>75</v>
      </c>
    </row>
    <row r="18" spans="1:20" s="354" customFormat="1" ht="30" customHeight="1">
      <c r="A18" s="343">
        <v>11</v>
      </c>
      <c r="B18" s="344" t="s">
        <v>41</v>
      </c>
      <c r="C18" s="355"/>
      <c r="D18" s="351" t="s">
        <v>109</v>
      </c>
      <c r="E18" s="410"/>
      <c r="F18" s="352"/>
      <c r="G18" s="352"/>
      <c r="H18" s="349">
        <v>10</v>
      </c>
      <c r="I18" s="348">
        <f>LOOKUP(H18,' Conv 19_20'!$A$4:$B$303)</f>
        <v>162</v>
      </c>
      <c r="J18" s="348">
        <f t="shared" si="1"/>
        <v>19.41</v>
      </c>
      <c r="K18" s="348">
        <f t="shared" si="2"/>
        <v>142.59</v>
      </c>
      <c r="L18" s="347">
        <v>870</v>
      </c>
      <c r="M18" s="347">
        <v>259</v>
      </c>
      <c r="N18" s="347">
        <v>70</v>
      </c>
      <c r="O18" s="347">
        <v>0</v>
      </c>
      <c r="P18" s="347"/>
      <c r="Q18" s="347"/>
      <c r="R18" s="348">
        <f>N18+M18+L18+K18</f>
        <v>1341.59</v>
      </c>
      <c r="S18" s="373"/>
      <c r="T18" s="347">
        <v>75</v>
      </c>
    </row>
    <row r="19" spans="1:20" s="354" customFormat="1" ht="30" customHeight="1">
      <c r="A19" s="343">
        <v>12</v>
      </c>
      <c r="B19" s="344" t="s">
        <v>620</v>
      </c>
      <c r="C19" s="355"/>
      <c r="D19" s="351" t="s">
        <v>109</v>
      </c>
      <c r="E19" s="409"/>
      <c r="F19" s="352"/>
      <c r="G19" s="352"/>
      <c r="H19" s="349">
        <f>H18</f>
        <v>10</v>
      </c>
      <c r="I19" s="348">
        <f>LOOKUP(H19,' Conv 19_20'!$A$4:$B$303)</f>
        <v>162</v>
      </c>
      <c r="J19" s="348">
        <f t="shared" si="1"/>
        <v>19.41</v>
      </c>
      <c r="K19" s="348">
        <f t="shared" si="2"/>
        <v>142.59</v>
      </c>
      <c r="L19" s="348">
        <v>781</v>
      </c>
      <c r="M19" s="347">
        <v>0</v>
      </c>
      <c r="N19" s="347">
        <v>0</v>
      </c>
      <c r="O19" s="347">
        <v>0</v>
      </c>
      <c r="P19" s="347"/>
      <c r="Q19" s="347"/>
      <c r="R19" s="348">
        <f>N19+M19+L19+K19</f>
        <v>923.59</v>
      </c>
      <c r="S19" s="373"/>
      <c r="T19" s="347">
        <v>75</v>
      </c>
    </row>
    <row r="20" spans="1:20" s="373" customFormat="1" ht="30" customHeight="1">
      <c r="A20" s="343">
        <v>13</v>
      </c>
      <c r="B20" s="344" t="s">
        <v>42</v>
      </c>
      <c r="C20" s="355"/>
      <c r="D20" s="351" t="s">
        <v>109</v>
      </c>
      <c r="E20" s="406"/>
      <c r="F20" s="352"/>
      <c r="G20" s="352"/>
      <c r="H20" s="407">
        <v>10</v>
      </c>
      <c r="I20" s="348">
        <f>LOOKUP(H20,' Conv 19_20'!$D$4:$E$303)</f>
        <v>162</v>
      </c>
      <c r="J20" s="348">
        <f t="shared" si="1"/>
        <v>19.41</v>
      </c>
      <c r="K20" s="348">
        <f t="shared" si="2"/>
        <v>142.59</v>
      </c>
      <c r="L20" s="347">
        <v>98</v>
      </c>
      <c r="M20" s="347">
        <v>0</v>
      </c>
      <c r="N20" s="347"/>
      <c r="O20" s="347">
        <v>0</v>
      </c>
      <c r="P20" s="347"/>
      <c r="Q20" s="347"/>
      <c r="R20" s="348">
        <f>SUM(K20,L20,M20,O20)</f>
        <v>240.59</v>
      </c>
      <c r="T20" s="347">
        <v>30</v>
      </c>
    </row>
    <row r="21" spans="1:20" ht="27" customHeight="1">
      <c r="A21" s="343">
        <v>14</v>
      </c>
      <c r="B21" s="344" t="s">
        <v>619</v>
      </c>
      <c r="C21" s="355"/>
      <c r="D21" s="351"/>
      <c r="E21" s="352"/>
      <c r="F21" s="352"/>
      <c r="G21" s="352"/>
      <c r="H21" s="349">
        <v>20</v>
      </c>
      <c r="I21" s="348">
        <f>LOOKUP(H21,' Conv 19_20'!$D$4:$E$303)</f>
        <v>301</v>
      </c>
      <c r="J21" s="348">
        <f t="shared" si="1"/>
        <v>36.07</v>
      </c>
      <c r="K21" s="348">
        <f t="shared" si="2"/>
        <v>264.93</v>
      </c>
      <c r="L21" s="347">
        <v>570</v>
      </c>
      <c r="M21" s="347">
        <v>0</v>
      </c>
      <c r="N21" s="347">
        <v>0</v>
      </c>
      <c r="O21" s="347"/>
      <c r="P21" s="347"/>
      <c r="Q21" s="347"/>
      <c r="R21" s="348">
        <f>Q21+L21+K21</f>
        <v>834.93000000000006</v>
      </c>
      <c r="S21" s="373"/>
      <c r="T21" s="347"/>
    </row>
    <row r="22" spans="1:20" ht="16.5">
      <c r="A22" s="343">
        <v>15</v>
      </c>
      <c r="B22" s="356" t="s">
        <v>269</v>
      </c>
      <c r="C22" s="357"/>
      <c r="D22" s="357"/>
      <c r="E22" s="357">
        <v>445</v>
      </c>
      <c r="F22" s="357"/>
      <c r="G22" s="358"/>
      <c r="H22" s="357"/>
      <c r="I22" s="358"/>
      <c r="J22" s="357"/>
      <c r="K22" s="359"/>
      <c r="L22" s="359"/>
      <c r="M22" s="359"/>
      <c r="N22" s="359"/>
      <c r="O22" s="359"/>
      <c r="P22" s="357"/>
      <c r="Q22" s="358"/>
      <c r="R22" s="357"/>
      <c r="T22" s="357"/>
    </row>
    <row r="23" spans="1:20" s="373" customFormat="1" ht="30" customHeight="1">
      <c r="A23" s="343">
        <v>16</v>
      </c>
      <c r="B23" s="360" t="s">
        <v>8</v>
      </c>
      <c r="C23" s="361"/>
      <c r="D23" s="361"/>
      <c r="E23" s="357">
        <v>445</v>
      </c>
      <c r="F23" s="361"/>
      <c r="G23" s="361"/>
      <c r="H23" s="361"/>
      <c r="I23" s="361"/>
      <c r="J23" s="361"/>
      <c r="K23" s="359"/>
      <c r="L23" s="359"/>
      <c r="M23" s="359"/>
      <c r="N23" s="359"/>
      <c r="O23" s="359"/>
      <c r="P23" s="361"/>
      <c r="Q23" s="358"/>
      <c r="R23" s="357"/>
      <c r="S23" s="365"/>
      <c r="T23" s="361"/>
    </row>
    <row r="24" spans="1:20" s="357" customFormat="1" ht="16.5">
      <c r="A24" s="343">
        <v>17</v>
      </c>
      <c r="B24" s="362" t="s">
        <v>628</v>
      </c>
      <c r="C24" s="361"/>
      <c r="D24" s="361"/>
      <c r="E24" s="357">
        <v>500</v>
      </c>
      <c r="F24" s="361"/>
      <c r="G24" s="361"/>
      <c r="H24" s="361"/>
      <c r="I24" s="361"/>
      <c r="J24" s="361"/>
      <c r="K24" s="359"/>
      <c r="M24" s="363"/>
      <c r="N24" s="363"/>
      <c r="O24" s="363"/>
      <c r="P24" s="357" t="s">
        <v>33</v>
      </c>
      <c r="Q24" s="358"/>
      <c r="R24" s="357">
        <v>445</v>
      </c>
      <c r="S24" s="365"/>
      <c r="T24" s="361"/>
    </row>
    <row r="25" spans="1:20" s="361" customFormat="1" ht="16.5">
      <c r="A25" s="343">
        <v>18</v>
      </c>
      <c r="B25" s="362" t="s">
        <v>421</v>
      </c>
      <c r="E25" s="357">
        <v>470</v>
      </c>
      <c r="K25" s="359"/>
      <c r="M25" s="363"/>
      <c r="N25" s="363"/>
      <c r="O25" s="363"/>
      <c r="Q25" s="364"/>
      <c r="R25" s="357"/>
      <c r="S25" s="365"/>
    </row>
    <row r="26" spans="1:20" s="361" customFormat="1" ht="16.5">
      <c r="A26" s="343">
        <v>19</v>
      </c>
      <c r="B26" s="361" t="s">
        <v>400</v>
      </c>
      <c r="D26" s="357"/>
      <c r="E26" s="357">
        <v>590</v>
      </c>
      <c r="K26" s="359"/>
      <c r="L26" s="363" t="s">
        <v>308</v>
      </c>
      <c r="M26" s="359"/>
      <c r="N26" s="359"/>
      <c r="O26" s="359"/>
      <c r="P26" s="358" t="s">
        <v>309</v>
      </c>
      <c r="Q26" s="358">
        <v>0.4</v>
      </c>
      <c r="R26" s="357"/>
      <c r="S26" s="365"/>
    </row>
    <row r="27" spans="1:20" s="361" customFormat="1" ht="16.5">
      <c r="A27" s="343">
        <v>20</v>
      </c>
      <c r="B27" s="361" t="s">
        <v>420</v>
      </c>
      <c r="D27" s="357"/>
      <c r="E27" s="357">
        <v>580</v>
      </c>
      <c r="K27" s="359"/>
      <c r="L27" s="363" t="s">
        <v>2</v>
      </c>
      <c r="M27" s="359"/>
      <c r="N27" s="359"/>
      <c r="O27" s="359"/>
      <c r="P27" s="358" t="s">
        <v>310</v>
      </c>
      <c r="Q27" s="364">
        <v>0.13614999999999999</v>
      </c>
      <c r="R27" s="357"/>
      <c r="S27" s="365"/>
    </row>
    <row r="28" spans="1:20" s="361" customFormat="1" ht="16.5">
      <c r="A28" s="343">
        <v>21</v>
      </c>
      <c r="B28" s="361" t="s">
        <v>629</v>
      </c>
      <c r="D28" s="357"/>
      <c r="E28" s="357">
        <v>525</v>
      </c>
      <c r="K28" s="359"/>
      <c r="L28" s="363"/>
      <c r="M28" s="359"/>
      <c r="N28" s="359"/>
      <c r="O28" s="359"/>
      <c r="P28" s="358"/>
      <c r="Q28" s="364"/>
      <c r="R28" s="357"/>
      <c r="S28" s="365"/>
    </row>
    <row r="29" spans="1:20" s="361" customFormat="1" ht="16.5">
      <c r="A29" s="343">
        <v>22</v>
      </c>
      <c r="B29" s="361" t="s">
        <v>378</v>
      </c>
      <c r="D29" s="357"/>
      <c r="E29" s="357">
        <v>590</v>
      </c>
      <c r="K29" s="359"/>
      <c r="L29" s="363"/>
      <c r="M29" s="359"/>
      <c r="N29" s="359"/>
      <c r="O29" s="359"/>
      <c r="P29" s="358"/>
      <c r="Q29" s="364"/>
      <c r="R29" s="357"/>
      <c r="S29" s="365"/>
    </row>
    <row r="30" spans="1:20" s="361" customFormat="1" ht="16.5">
      <c r="A30" s="343">
        <v>23</v>
      </c>
      <c r="B30" s="361" t="s">
        <v>630</v>
      </c>
      <c r="D30" s="357"/>
      <c r="E30" s="357">
        <v>495</v>
      </c>
      <c r="K30" s="359"/>
      <c r="L30" s="363"/>
      <c r="M30" s="359"/>
      <c r="N30" s="359"/>
      <c r="O30" s="359"/>
      <c r="P30" s="358"/>
      <c r="Q30" s="364"/>
      <c r="R30" s="357"/>
      <c r="S30" s="365"/>
    </row>
    <row r="31" spans="1:20" s="361" customFormat="1" ht="16.5">
      <c r="A31" s="343">
        <v>24</v>
      </c>
      <c r="B31" s="361" t="s">
        <v>377</v>
      </c>
      <c r="D31" s="357"/>
      <c r="E31" s="357">
        <v>570</v>
      </c>
      <c r="K31" s="359"/>
      <c r="L31" s="363"/>
      <c r="M31" s="359"/>
      <c r="N31" s="359"/>
      <c r="O31" s="359"/>
      <c r="P31" s="358"/>
      <c r="Q31" s="364"/>
      <c r="R31" s="357"/>
      <c r="S31" s="365"/>
    </row>
    <row r="32" spans="1:20" s="361" customFormat="1" ht="16.5">
      <c r="A32" s="343"/>
      <c r="D32" s="357"/>
      <c r="E32" s="357"/>
      <c r="K32" s="359"/>
      <c r="L32" s="363"/>
      <c r="M32" s="359"/>
      <c r="N32" s="359"/>
      <c r="O32" s="359"/>
      <c r="P32" s="358"/>
      <c r="Q32" s="364"/>
      <c r="R32" s="357"/>
      <c r="S32" s="365"/>
    </row>
    <row r="33" spans="1:19" s="361" customFormat="1" ht="16.5">
      <c r="A33" s="343"/>
      <c r="D33" s="357"/>
      <c r="E33" s="357"/>
      <c r="K33" s="359"/>
      <c r="L33" s="363"/>
      <c r="M33" s="359"/>
      <c r="N33" s="359"/>
      <c r="O33" s="359"/>
      <c r="P33" s="358"/>
      <c r="Q33" s="364"/>
      <c r="R33" s="357"/>
      <c r="S33" s="365"/>
    </row>
    <row r="34" spans="1:19" s="361" customFormat="1" ht="16.5">
      <c r="A34" s="343"/>
      <c r="D34" s="357"/>
      <c r="E34" s="357"/>
      <c r="K34" s="359"/>
      <c r="L34" s="363"/>
      <c r="M34" s="359"/>
      <c r="N34" s="359"/>
      <c r="O34" s="359"/>
      <c r="P34" s="358"/>
      <c r="Q34" s="364"/>
      <c r="R34" s="357"/>
      <c r="S34" s="365"/>
    </row>
    <row r="35" spans="1:19" s="361" customFormat="1" ht="16.5">
      <c r="A35" s="343"/>
      <c r="D35" s="357"/>
      <c r="E35" s="357"/>
      <c r="K35" s="359"/>
      <c r="L35" s="363"/>
      <c r="M35" s="359"/>
      <c r="N35" s="359"/>
      <c r="O35" s="359"/>
      <c r="P35" s="358"/>
      <c r="Q35" s="364"/>
      <c r="R35" s="357"/>
      <c r="S35" s="365"/>
    </row>
    <row r="36" spans="1:19" s="361" customFormat="1" ht="16.5">
      <c r="A36" s="343"/>
      <c r="D36" s="357"/>
      <c r="E36" s="357"/>
      <c r="K36" s="359"/>
      <c r="L36" s="359"/>
      <c r="M36" s="359"/>
      <c r="N36" s="359"/>
      <c r="O36" s="359"/>
      <c r="P36" s="359"/>
      <c r="Q36" s="358"/>
      <c r="R36" s="357"/>
      <c r="S36" s="365"/>
    </row>
    <row r="37" spans="1:19" s="361" customFormat="1" ht="16.5">
      <c r="A37" s="343"/>
      <c r="D37" s="357"/>
      <c r="E37" s="357"/>
      <c r="K37" s="359"/>
      <c r="L37" s="359"/>
      <c r="M37" s="359"/>
      <c r="N37" s="359"/>
      <c r="O37" s="359"/>
      <c r="P37" s="359"/>
      <c r="Q37" s="358"/>
      <c r="R37" s="357"/>
      <c r="S37" s="365"/>
    </row>
    <row r="38" spans="1:19" s="361" customFormat="1" ht="16.5">
      <c r="A38" s="343"/>
      <c r="D38" s="357"/>
      <c r="E38" s="357"/>
      <c r="K38" s="359"/>
      <c r="L38" s="359"/>
      <c r="M38" s="359"/>
      <c r="N38" s="359"/>
      <c r="O38" s="359"/>
      <c r="P38" s="359"/>
      <c r="Q38" s="358"/>
      <c r="R38" s="357"/>
      <c r="S38" s="365"/>
    </row>
    <row r="39" spans="1:19" s="361" customFormat="1" ht="16.5">
      <c r="A39" s="343"/>
      <c r="D39" s="357"/>
      <c r="E39" s="357"/>
      <c r="K39" s="359"/>
      <c r="L39" s="359"/>
      <c r="M39" s="359"/>
      <c r="N39" s="359"/>
      <c r="O39" s="359"/>
      <c r="P39" s="359"/>
      <c r="Q39" s="358"/>
      <c r="R39" s="357"/>
      <c r="S39" s="365"/>
    </row>
    <row r="40" spans="1:19" s="361" customFormat="1">
      <c r="A40" s="357"/>
      <c r="B40" s="361" t="s">
        <v>311</v>
      </c>
      <c r="E40" s="357"/>
    </row>
    <row r="41" spans="1:19" s="361" customFormat="1">
      <c r="A41" s="357"/>
      <c r="B41" s="361" t="s">
        <v>312</v>
      </c>
      <c r="E41" s="357"/>
    </row>
    <row r="42" spans="1:19" s="361" customFormat="1">
      <c r="A42" s="357"/>
      <c r="B42" s="361" t="s">
        <v>313</v>
      </c>
      <c r="E42" s="357"/>
    </row>
    <row r="43" spans="1:19" s="361" customFormat="1">
      <c r="A43" s="357"/>
      <c r="B43" s="361" t="s">
        <v>314</v>
      </c>
      <c r="E43" s="357"/>
    </row>
    <row r="44" spans="1:19" s="361" customFormat="1">
      <c r="A44" s="357"/>
      <c r="E44" s="357"/>
    </row>
    <row r="45" spans="1:19" s="361" customFormat="1">
      <c r="A45" s="357"/>
      <c r="E45" s="357"/>
    </row>
    <row r="46" spans="1:19" s="361" customFormat="1">
      <c r="A46" s="357"/>
      <c r="E46" s="357"/>
    </row>
    <row r="47" spans="1:19" s="375" customFormat="1">
      <c r="A47" s="374"/>
      <c r="B47" s="374"/>
      <c r="E47" s="374"/>
      <c r="F47" s="374"/>
      <c r="K47" s="374"/>
      <c r="R47" s="374"/>
    </row>
    <row r="48" spans="1:19" s="375" customFormat="1">
      <c r="A48" s="374"/>
      <c r="B48" s="374"/>
      <c r="E48" s="374"/>
      <c r="F48" s="374"/>
      <c r="K48" s="374"/>
      <c r="R48" s="374"/>
    </row>
    <row r="49" spans="1:13" s="361" customFormat="1">
      <c r="A49" s="357"/>
      <c r="B49" s="376"/>
      <c r="C49" s="377"/>
      <c r="D49" s="378"/>
      <c r="E49" s="378"/>
      <c r="F49" s="378"/>
      <c r="G49" s="379"/>
      <c r="H49" s="380"/>
      <c r="I49" s="380"/>
      <c r="J49" s="380"/>
      <c r="K49" s="380"/>
      <c r="L49" s="380"/>
      <c r="M49" s="380"/>
    </row>
    <row r="50" spans="1:13">
      <c r="B50" s="376"/>
      <c r="C50" s="377"/>
      <c r="D50" s="378"/>
      <c r="E50" s="378"/>
      <c r="F50" s="378"/>
      <c r="G50" s="379"/>
      <c r="H50" s="380"/>
      <c r="I50" s="380"/>
      <c r="J50" s="380"/>
      <c r="K50" s="380"/>
      <c r="L50" s="380"/>
      <c r="M50" s="380"/>
    </row>
  </sheetData>
  <mergeCells count="14">
    <mergeCell ref="R4:R5"/>
    <mergeCell ref="T4:T5"/>
    <mergeCell ref="A1:S1"/>
    <mergeCell ref="L4:O4"/>
    <mergeCell ref="B4:B5"/>
    <mergeCell ref="A4:A5"/>
    <mergeCell ref="P4:P5"/>
    <mergeCell ref="Q4:Q5"/>
    <mergeCell ref="A3:B3"/>
    <mergeCell ref="G4:G5"/>
    <mergeCell ref="I4:K4"/>
    <mergeCell ref="H4:H5"/>
    <mergeCell ref="E4:E5"/>
    <mergeCell ref="F4:F5"/>
  </mergeCells>
  <phoneticPr fontId="9" type="noConversion"/>
  <printOptions horizontalCentered="1" gridLines="1"/>
  <pageMargins left="0.23622047244094491" right="0.23622047244094491" top="0.23622047244094491" bottom="0.11811023622047245" header="0.51181102362204722" footer="0.51181102362204722"/>
  <pageSetup paperSize="9" scale="70" orientation="landscape" r:id="rId1"/>
  <headerFooter alignWithMargins="0">
    <oddFooter>&amp;CKarthikeya Associates</oddFooter>
  </headerFooter>
</worksheet>
</file>

<file path=xl/worksheets/sheet19.xml><?xml version="1.0" encoding="utf-8"?>
<worksheet xmlns="http://schemas.openxmlformats.org/spreadsheetml/2006/main" xmlns:r="http://schemas.openxmlformats.org/officeDocument/2006/relationships">
  <dimension ref="A1:N303"/>
  <sheetViews>
    <sheetView workbookViewId="0">
      <selection activeCell="J292" sqref="J292"/>
    </sheetView>
  </sheetViews>
  <sheetFormatPr defaultColWidth="8" defaultRowHeight="14.25"/>
  <cols>
    <col min="1" max="1" width="4.7109375" style="87" customWidth="1"/>
    <col min="2" max="2" width="8.5703125" style="2" customWidth="1"/>
    <col min="3" max="3" width="3.85546875" style="26" customWidth="1"/>
    <col min="4" max="4" width="4.7109375" style="87" customWidth="1"/>
    <col min="5" max="5" width="8.5703125" style="2" customWidth="1"/>
    <col min="6" max="6" width="4.140625" style="27" customWidth="1"/>
    <col min="7" max="7" width="4.7109375" style="87" customWidth="1"/>
    <col min="8" max="8" width="8.5703125" style="2" customWidth="1"/>
    <col min="9" max="9" width="5.42578125" style="26" customWidth="1"/>
    <col min="10" max="10" width="4.7109375" style="87" customWidth="1"/>
    <col min="11" max="11" width="8.5703125" style="2" customWidth="1"/>
    <col min="12" max="12" width="8" style="3" customWidth="1"/>
    <col min="13" max="13" width="8" style="2" hidden="1" customWidth="1"/>
    <col min="14" max="14" width="10.140625" style="2" hidden="1" customWidth="1"/>
    <col min="15" max="16384" width="8" style="3"/>
  </cols>
  <sheetData>
    <row r="1" spans="1:14" ht="15">
      <c r="A1" s="1625" t="s">
        <v>417</v>
      </c>
      <c r="B1" s="1626"/>
      <c r="C1" s="1626"/>
      <c r="D1" s="1626"/>
      <c r="E1" s="1626"/>
      <c r="F1" s="1626"/>
      <c r="G1" s="1626"/>
      <c r="H1" s="1626"/>
      <c r="I1" s="1626"/>
      <c r="J1" s="1626"/>
      <c r="K1" s="1626"/>
    </row>
    <row r="2" spans="1:14" s="34" customFormat="1" ht="34.5" customHeight="1">
      <c r="A2" s="1630" t="s">
        <v>24</v>
      </c>
      <c r="B2" s="1630"/>
      <c r="C2" s="32"/>
      <c r="D2" s="1629" t="s">
        <v>25</v>
      </c>
      <c r="E2" s="1629"/>
      <c r="F2" s="33"/>
      <c r="G2" s="1628" t="s">
        <v>26</v>
      </c>
      <c r="H2" s="1628"/>
      <c r="I2" s="32"/>
      <c r="J2" s="1627" t="s">
        <v>29</v>
      </c>
      <c r="K2" s="1627"/>
      <c r="M2" s="35" t="s">
        <v>27</v>
      </c>
      <c r="N2" s="35"/>
    </row>
    <row r="3" spans="1:14">
      <c r="A3" s="29" t="s">
        <v>28</v>
      </c>
      <c r="B3" s="29" t="s">
        <v>294</v>
      </c>
      <c r="D3" s="25" t="s">
        <v>28</v>
      </c>
      <c r="E3" s="25" t="s">
        <v>294</v>
      </c>
      <c r="G3" s="30" t="s">
        <v>28</v>
      </c>
      <c r="H3" s="30" t="s">
        <v>294</v>
      </c>
      <c r="J3" s="31" t="s">
        <v>28</v>
      </c>
      <c r="K3" s="31" t="s">
        <v>294</v>
      </c>
    </row>
    <row r="4" spans="1:14" ht="16.5">
      <c r="A4" s="86">
        <v>1</v>
      </c>
      <c r="B4" s="74">
        <v>30.4</v>
      </c>
      <c r="C4" s="249"/>
      <c r="D4" s="86">
        <v>1</v>
      </c>
      <c r="E4" s="79">
        <v>31.5</v>
      </c>
      <c r="G4" s="86">
        <v>1</v>
      </c>
      <c r="H4" s="79">
        <v>44.7</v>
      </c>
      <c r="I4" s="28"/>
      <c r="J4" s="86">
        <v>1</v>
      </c>
      <c r="K4" s="84">
        <v>50.7</v>
      </c>
      <c r="M4" s="4">
        <v>1</v>
      </c>
      <c r="N4" s="5">
        <v>63.1</v>
      </c>
    </row>
    <row r="5" spans="1:14" ht="16.5">
      <c r="A5" s="86">
        <f>A4+1</f>
        <v>2</v>
      </c>
      <c r="B5" s="75">
        <v>42.6</v>
      </c>
      <c r="C5" s="249"/>
      <c r="D5" s="86">
        <f t="shared" ref="D5:D68" si="0">D4+1</f>
        <v>2</v>
      </c>
      <c r="E5" s="81">
        <v>44.1</v>
      </c>
      <c r="G5" s="86">
        <f>G4+1</f>
        <v>2</v>
      </c>
      <c r="H5" s="81">
        <v>62.6</v>
      </c>
      <c r="I5" s="28"/>
      <c r="J5" s="86">
        <f>J4+1</f>
        <v>2</v>
      </c>
      <c r="K5" s="81">
        <v>70.900000000000006</v>
      </c>
      <c r="M5" s="4">
        <v>2</v>
      </c>
      <c r="N5" s="5">
        <v>63.1</v>
      </c>
    </row>
    <row r="6" spans="1:14" ht="16.5">
      <c r="A6" s="86">
        <f>A5+1</f>
        <v>3</v>
      </c>
      <c r="B6" s="76">
        <v>58.8</v>
      </c>
      <c r="C6" s="249"/>
      <c r="D6" s="86">
        <f t="shared" si="0"/>
        <v>3</v>
      </c>
      <c r="E6" s="80">
        <v>58.8</v>
      </c>
      <c r="G6" s="86">
        <f t="shared" ref="G6:G69" si="1">G5+1</f>
        <v>3</v>
      </c>
      <c r="H6" s="80">
        <v>86.5</v>
      </c>
      <c r="I6" s="28"/>
      <c r="J6" s="86">
        <f t="shared" ref="J6:J69" si="2">J5+1</f>
        <v>3</v>
      </c>
      <c r="K6" s="80">
        <v>94.6</v>
      </c>
      <c r="M6" s="4">
        <v>3</v>
      </c>
      <c r="N6" s="5">
        <v>63.1</v>
      </c>
    </row>
    <row r="7" spans="1:14" ht="16.5">
      <c r="A7" s="86">
        <f>A6+1</f>
        <v>4</v>
      </c>
      <c r="B7" s="77">
        <v>71.400000000000006</v>
      </c>
      <c r="C7" s="249"/>
      <c r="D7" s="86">
        <f t="shared" si="0"/>
        <v>4</v>
      </c>
      <c r="E7" s="82">
        <v>71.400000000000006</v>
      </c>
      <c r="G7" s="86">
        <f t="shared" si="1"/>
        <v>4</v>
      </c>
      <c r="H7" s="82">
        <v>105</v>
      </c>
      <c r="I7" s="28"/>
      <c r="J7" s="86">
        <f t="shared" si="2"/>
        <v>4</v>
      </c>
      <c r="K7" s="82">
        <v>114.8</v>
      </c>
      <c r="M7" s="4">
        <v>4</v>
      </c>
      <c r="N7" s="5">
        <v>63.1</v>
      </c>
    </row>
    <row r="8" spans="1:14" ht="16.5">
      <c r="A8" s="86">
        <f>A7+1</f>
        <v>5</v>
      </c>
      <c r="B8" s="78">
        <v>84</v>
      </c>
      <c r="C8" s="249"/>
      <c r="D8" s="86">
        <f t="shared" si="0"/>
        <v>5</v>
      </c>
      <c r="E8" s="83">
        <v>84</v>
      </c>
      <c r="G8" s="86">
        <f t="shared" si="1"/>
        <v>5</v>
      </c>
      <c r="H8" s="83">
        <v>123.5</v>
      </c>
      <c r="I8" s="28"/>
      <c r="J8" s="86">
        <f t="shared" si="2"/>
        <v>5</v>
      </c>
      <c r="K8" s="83">
        <v>135.1</v>
      </c>
      <c r="M8" s="4">
        <v>5</v>
      </c>
      <c r="N8" s="5">
        <v>63.1</v>
      </c>
    </row>
    <row r="9" spans="1:14" ht="16.5">
      <c r="A9" s="86">
        <f>A8+1</f>
        <v>6</v>
      </c>
      <c r="B9" s="79">
        <f>B8+12.6</f>
        <v>96.6</v>
      </c>
      <c r="C9" s="249"/>
      <c r="D9" s="86">
        <f t="shared" si="0"/>
        <v>6</v>
      </c>
      <c r="E9" s="79">
        <f>E8+12.6</f>
        <v>96.6</v>
      </c>
      <c r="G9" s="86">
        <f t="shared" si="1"/>
        <v>6</v>
      </c>
      <c r="H9" s="79">
        <f>H8+18.5</f>
        <v>142</v>
      </c>
      <c r="I9" s="28"/>
      <c r="J9" s="86">
        <f t="shared" si="2"/>
        <v>6</v>
      </c>
      <c r="K9" s="85">
        <f>K8+20.3</f>
        <v>155.4</v>
      </c>
      <c r="M9" s="4">
        <v>6</v>
      </c>
      <c r="N9" s="5">
        <f t="shared" ref="N9:N40" si="3">N8+3</f>
        <v>66.099999999999994</v>
      </c>
    </row>
    <row r="10" spans="1:14" ht="16.5">
      <c r="A10" s="86">
        <f t="shared" ref="A10:A33" si="4">A9+1</f>
        <v>7</v>
      </c>
      <c r="B10" s="79">
        <f t="shared" ref="B10:B33" si="5">B9+12.6</f>
        <v>109.19999999999999</v>
      </c>
      <c r="C10" s="249"/>
      <c r="D10" s="86">
        <f t="shared" si="0"/>
        <v>7</v>
      </c>
      <c r="E10" s="79">
        <f t="shared" ref="E10:E33" si="6">E9+12.6</f>
        <v>109.19999999999999</v>
      </c>
      <c r="G10" s="86">
        <f t="shared" si="1"/>
        <v>7</v>
      </c>
      <c r="H10" s="79">
        <f t="shared" ref="H10:H33" si="7">H9+18.5</f>
        <v>160.5</v>
      </c>
      <c r="I10" s="28"/>
      <c r="J10" s="86">
        <f t="shared" si="2"/>
        <v>7</v>
      </c>
      <c r="K10" s="85">
        <f t="shared" ref="K10:K33" si="8">K9+20.3</f>
        <v>175.70000000000002</v>
      </c>
      <c r="M10" s="4">
        <v>7</v>
      </c>
      <c r="N10" s="5">
        <f t="shared" si="3"/>
        <v>69.099999999999994</v>
      </c>
    </row>
    <row r="11" spans="1:14" ht="16.5">
      <c r="A11" s="86">
        <f t="shared" si="4"/>
        <v>8</v>
      </c>
      <c r="B11" s="79">
        <f t="shared" si="5"/>
        <v>121.79999999999998</v>
      </c>
      <c r="C11" s="249"/>
      <c r="D11" s="86">
        <f t="shared" si="0"/>
        <v>8</v>
      </c>
      <c r="E11" s="79">
        <f t="shared" si="6"/>
        <v>121.79999999999998</v>
      </c>
      <c r="G11" s="86">
        <f t="shared" si="1"/>
        <v>8</v>
      </c>
      <c r="H11" s="79">
        <f t="shared" si="7"/>
        <v>179</v>
      </c>
      <c r="I11" s="28"/>
      <c r="J11" s="86">
        <f t="shared" si="2"/>
        <v>8</v>
      </c>
      <c r="K11" s="85">
        <f t="shared" si="8"/>
        <v>196.00000000000003</v>
      </c>
      <c r="M11" s="4">
        <v>8</v>
      </c>
      <c r="N11" s="5">
        <f t="shared" si="3"/>
        <v>72.099999999999994</v>
      </c>
    </row>
    <row r="12" spans="1:14" ht="16.5">
      <c r="A12" s="86">
        <f t="shared" si="4"/>
        <v>9</v>
      </c>
      <c r="B12" s="79">
        <f t="shared" si="5"/>
        <v>134.39999999999998</v>
      </c>
      <c r="C12" s="249"/>
      <c r="D12" s="86">
        <f t="shared" si="0"/>
        <v>9</v>
      </c>
      <c r="E12" s="79">
        <f t="shared" si="6"/>
        <v>134.39999999999998</v>
      </c>
      <c r="G12" s="86">
        <f t="shared" si="1"/>
        <v>9</v>
      </c>
      <c r="H12" s="79">
        <f t="shared" si="7"/>
        <v>197.5</v>
      </c>
      <c r="I12" s="28"/>
      <c r="J12" s="86">
        <f t="shared" si="2"/>
        <v>9</v>
      </c>
      <c r="K12" s="85">
        <f t="shared" si="8"/>
        <v>216.30000000000004</v>
      </c>
      <c r="M12" s="4">
        <v>9</v>
      </c>
      <c r="N12" s="5">
        <f t="shared" si="3"/>
        <v>75.099999999999994</v>
      </c>
    </row>
    <row r="13" spans="1:14" ht="16.5">
      <c r="A13" s="86">
        <f t="shared" si="4"/>
        <v>10</v>
      </c>
      <c r="B13" s="79">
        <f t="shared" si="5"/>
        <v>146.99999999999997</v>
      </c>
      <c r="C13" s="249"/>
      <c r="D13" s="86">
        <f t="shared" si="0"/>
        <v>10</v>
      </c>
      <c r="E13" s="79">
        <f t="shared" si="6"/>
        <v>146.99999999999997</v>
      </c>
      <c r="G13" s="86">
        <f t="shared" si="1"/>
        <v>10</v>
      </c>
      <c r="H13" s="79">
        <f t="shared" si="7"/>
        <v>216</v>
      </c>
      <c r="I13" s="28"/>
      <c r="J13" s="86">
        <f t="shared" si="2"/>
        <v>10</v>
      </c>
      <c r="K13" s="85">
        <f t="shared" si="8"/>
        <v>236.60000000000005</v>
      </c>
      <c r="M13" s="4">
        <v>10</v>
      </c>
      <c r="N13" s="5">
        <f t="shared" si="3"/>
        <v>78.099999999999994</v>
      </c>
    </row>
    <row r="14" spans="1:14" ht="16.5">
      <c r="A14" s="86">
        <f t="shared" si="4"/>
        <v>11</v>
      </c>
      <c r="B14" s="79">
        <f t="shared" si="5"/>
        <v>159.59999999999997</v>
      </c>
      <c r="C14" s="249"/>
      <c r="D14" s="86">
        <f t="shared" si="0"/>
        <v>11</v>
      </c>
      <c r="E14" s="79">
        <f t="shared" si="6"/>
        <v>159.59999999999997</v>
      </c>
      <c r="G14" s="86">
        <f t="shared" si="1"/>
        <v>11</v>
      </c>
      <c r="H14" s="79">
        <f t="shared" si="7"/>
        <v>234.5</v>
      </c>
      <c r="I14" s="28"/>
      <c r="J14" s="86">
        <f t="shared" si="2"/>
        <v>11</v>
      </c>
      <c r="K14" s="85">
        <f t="shared" si="8"/>
        <v>256.90000000000003</v>
      </c>
      <c r="M14" s="4">
        <v>11</v>
      </c>
      <c r="N14" s="5">
        <f t="shared" si="3"/>
        <v>81.099999999999994</v>
      </c>
    </row>
    <row r="15" spans="1:14" ht="16.5">
      <c r="A15" s="86">
        <f t="shared" si="4"/>
        <v>12</v>
      </c>
      <c r="B15" s="79">
        <f t="shared" si="5"/>
        <v>172.19999999999996</v>
      </c>
      <c r="C15" s="249"/>
      <c r="D15" s="86">
        <f t="shared" si="0"/>
        <v>12</v>
      </c>
      <c r="E15" s="79">
        <f t="shared" si="6"/>
        <v>172.19999999999996</v>
      </c>
      <c r="G15" s="86">
        <f t="shared" si="1"/>
        <v>12</v>
      </c>
      <c r="H15" s="79">
        <f t="shared" si="7"/>
        <v>253</v>
      </c>
      <c r="I15" s="28"/>
      <c r="J15" s="86">
        <f t="shared" si="2"/>
        <v>12</v>
      </c>
      <c r="K15" s="85">
        <f t="shared" si="8"/>
        <v>277.20000000000005</v>
      </c>
      <c r="M15" s="4">
        <v>12</v>
      </c>
      <c r="N15" s="5">
        <f t="shared" si="3"/>
        <v>84.1</v>
      </c>
    </row>
    <row r="16" spans="1:14" ht="16.5">
      <c r="A16" s="86">
        <f t="shared" si="4"/>
        <v>13</v>
      </c>
      <c r="B16" s="79">
        <f t="shared" si="5"/>
        <v>184.79999999999995</v>
      </c>
      <c r="C16" s="249"/>
      <c r="D16" s="86">
        <f t="shared" si="0"/>
        <v>13</v>
      </c>
      <c r="E16" s="79">
        <f t="shared" si="6"/>
        <v>184.79999999999995</v>
      </c>
      <c r="G16" s="86">
        <f t="shared" si="1"/>
        <v>13</v>
      </c>
      <c r="H16" s="79">
        <f t="shared" si="7"/>
        <v>271.5</v>
      </c>
      <c r="I16" s="28"/>
      <c r="J16" s="86">
        <f t="shared" si="2"/>
        <v>13</v>
      </c>
      <c r="K16" s="85">
        <f t="shared" si="8"/>
        <v>297.50000000000006</v>
      </c>
      <c r="M16" s="4">
        <v>13</v>
      </c>
      <c r="N16" s="5">
        <f t="shared" si="3"/>
        <v>87.1</v>
      </c>
    </row>
    <row r="17" spans="1:14" ht="16.5">
      <c r="A17" s="86">
        <f t="shared" si="4"/>
        <v>14</v>
      </c>
      <c r="B17" s="79">
        <f t="shared" si="5"/>
        <v>197.39999999999995</v>
      </c>
      <c r="C17" s="249"/>
      <c r="D17" s="86">
        <f t="shared" si="0"/>
        <v>14</v>
      </c>
      <c r="E17" s="79">
        <f t="shared" si="6"/>
        <v>197.39999999999995</v>
      </c>
      <c r="G17" s="86">
        <f t="shared" si="1"/>
        <v>14</v>
      </c>
      <c r="H17" s="79">
        <f t="shared" si="7"/>
        <v>290</v>
      </c>
      <c r="I17" s="28"/>
      <c r="J17" s="86">
        <f t="shared" si="2"/>
        <v>14</v>
      </c>
      <c r="K17" s="85">
        <f t="shared" si="8"/>
        <v>317.80000000000007</v>
      </c>
      <c r="M17" s="4">
        <v>14</v>
      </c>
      <c r="N17" s="5">
        <f t="shared" si="3"/>
        <v>90.1</v>
      </c>
    </row>
    <row r="18" spans="1:14" ht="16.5">
      <c r="A18" s="86">
        <f t="shared" si="4"/>
        <v>15</v>
      </c>
      <c r="B18" s="79">
        <f t="shared" si="5"/>
        <v>209.99999999999994</v>
      </c>
      <c r="C18" s="249"/>
      <c r="D18" s="86">
        <f t="shared" si="0"/>
        <v>15</v>
      </c>
      <c r="E18" s="79">
        <f t="shared" si="6"/>
        <v>209.99999999999994</v>
      </c>
      <c r="G18" s="86">
        <f t="shared" si="1"/>
        <v>15</v>
      </c>
      <c r="H18" s="79">
        <f t="shared" si="7"/>
        <v>308.5</v>
      </c>
      <c r="I18" s="28"/>
      <c r="J18" s="86">
        <f t="shared" si="2"/>
        <v>15</v>
      </c>
      <c r="K18" s="85">
        <f t="shared" si="8"/>
        <v>338.10000000000008</v>
      </c>
      <c r="M18" s="4">
        <v>15</v>
      </c>
      <c r="N18" s="5">
        <f t="shared" si="3"/>
        <v>93.1</v>
      </c>
    </row>
    <row r="19" spans="1:14" ht="16.5">
      <c r="A19" s="86">
        <f t="shared" si="4"/>
        <v>16</v>
      </c>
      <c r="B19" s="79">
        <f t="shared" si="5"/>
        <v>222.59999999999994</v>
      </c>
      <c r="C19" s="249"/>
      <c r="D19" s="86">
        <f t="shared" si="0"/>
        <v>16</v>
      </c>
      <c r="E19" s="79">
        <f t="shared" si="6"/>
        <v>222.59999999999994</v>
      </c>
      <c r="G19" s="86">
        <f t="shared" si="1"/>
        <v>16</v>
      </c>
      <c r="H19" s="79">
        <f t="shared" si="7"/>
        <v>327</v>
      </c>
      <c r="I19" s="28"/>
      <c r="J19" s="86">
        <f t="shared" si="2"/>
        <v>16</v>
      </c>
      <c r="K19" s="85">
        <f t="shared" si="8"/>
        <v>358.40000000000009</v>
      </c>
      <c r="M19" s="4">
        <v>16</v>
      </c>
      <c r="N19" s="5">
        <f t="shared" si="3"/>
        <v>96.1</v>
      </c>
    </row>
    <row r="20" spans="1:14" ht="16.5">
      <c r="A20" s="86">
        <f t="shared" si="4"/>
        <v>17</v>
      </c>
      <c r="B20" s="79">
        <f t="shared" si="5"/>
        <v>235.19999999999993</v>
      </c>
      <c r="C20" s="249"/>
      <c r="D20" s="86">
        <f t="shared" si="0"/>
        <v>17</v>
      </c>
      <c r="E20" s="79">
        <f t="shared" si="6"/>
        <v>235.19999999999993</v>
      </c>
      <c r="G20" s="86">
        <f t="shared" si="1"/>
        <v>17</v>
      </c>
      <c r="H20" s="79">
        <f t="shared" si="7"/>
        <v>345.5</v>
      </c>
      <c r="I20" s="28"/>
      <c r="J20" s="86">
        <f t="shared" si="2"/>
        <v>17</v>
      </c>
      <c r="K20" s="85">
        <f t="shared" si="8"/>
        <v>378.7000000000001</v>
      </c>
      <c r="M20" s="4">
        <v>17</v>
      </c>
      <c r="N20" s="5">
        <f t="shared" si="3"/>
        <v>99.1</v>
      </c>
    </row>
    <row r="21" spans="1:14" ht="16.5">
      <c r="A21" s="86">
        <f t="shared" si="4"/>
        <v>18</v>
      </c>
      <c r="B21" s="79">
        <f t="shared" si="5"/>
        <v>247.79999999999993</v>
      </c>
      <c r="C21" s="249"/>
      <c r="D21" s="86">
        <f t="shared" si="0"/>
        <v>18</v>
      </c>
      <c r="E21" s="79">
        <f t="shared" si="6"/>
        <v>247.79999999999993</v>
      </c>
      <c r="G21" s="86">
        <f t="shared" si="1"/>
        <v>18</v>
      </c>
      <c r="H21" s="79">
        <f t="shared" si="7"/>
        <v>364</v>
      </c>
      <c r="I21" s="28"/>
      <c r="J21" s="86">
        <f t="shared" si="2"/>
        <v>18</v>
      </c>
      <c r="K21" s="85">
        <f t="shared" si="8"/>
        <v>399.00000000000011</v>
      </c>
      <c r="M21" s="4">
        <v>18</v>
      </c>
      <c r="N21" s="5">
        <f t="shared" si="3"/>
        <v>102.1</v>
      </c>
    </row>
    <row r="22" spans="1:14" ht="16.5">
      <c r="A22" s="86">
        <f t="shared" si="4"/>
        <v>19</v>
      </c>
      <c r="B22" s="79">
        <f t="shared" si="5"/>
        <v>260.39999999999992</v>
      </c>
      <c r="C22" s="249"/>
      <c r="D22" s="86">
        <f t="shared" si="0"/>
        <v>19</v>
      </c>
      <c r="E22" s="79">
        <f t="shared" si="6"/>
        <v>260.39999999999992</v>
      </c>
      <c r="G22" s="86">
        <f t="shared" si="1"/>
        <v>19</v>
      </c>
      <c r="H22" s="79">
        <f t="shared" si="7"/>
        <v>382.5</v>
      </c>
      <c r="I22" s="28"/>
      <c r="J22" s="86">
        <f t="shared" si="2"/>
        <v>19</v>
      </c>
      <c r="K22" s="85">
        <f t="shared" si="8"/>
        <v>419.30000000000013</v>
      </c>
      <c r="M22" s="4">
        <v>19</v>
      </c>
      <c r="N22" s="5">
        <f t="shared" si="3"/>
        <v>105.1</v>
      </c>
    </row>
    <row r="23" spans="1:14" ht="16.5">
      <c r="A23" s="86">
        <f t="shared" si="4"/>
        <v>20</v>
      </c>
      <c r="B23" s="79">
        <f t="shared" si="5"/>
        <v>272.99999999999994</v>
      </c>
      <c r="C23" s="249"/>
      <c r="D23" s="86">
        <f t="shared" si="0"/>
        <v>20</v>
      </c>
      <c r="E23" s="79">
        <f t="shared" si="6"/>
        <v>272.99999999999994</v>
      </c>
      <c r="G23" s="86">
        <f t="shared" si="1"/>
        <v>20</v>
      </c>
      <c r="H23" s="79">
        <f t="shared" si="7"/>
        <v>401</v>
      </c>
      <c r="I23" s="28"/>
      <c r="J23" s="86">
        <f t="shared" si="2"/>
        <v>20</v>
      </c>
      <c r="K23" s="85">
        <f t="shared" si="8"/>
        <v>439.60000000000014</v>
      </c>
      <c r="M23" s="4">
        <v>20</v>
      </c>
      <c r="N23" s="5">
        <f t="shared" si="3"/>
        <v>108.1</v>
      </c>
    </row>
    <row r="24" spans="1:14" ht="16.5">
      <c r="A24" s="86">
        <f t="shared" si="4"/>
        <v>21</v>
      </c>
      <c r="B24" s="79">
        <f t="shared" si="5"/>
        <v>285.59999999999997</v>
      </c>
      <c r="C24" s="249"/>
      <c r="D24" s="86">
        <f t="shared" si="0"/>
        <v>21</v>
      </c>
      <c r="E24" s="79">
        <f t="shared" si="6"/>
        <v>285.59999999999997</v>
      </c>
      <c r="G24" s="86">
        <f t="shared" si="1"/>
        <v>21</v>
      </c>
      <c r="H24" s="79">
        <f t="shared" si="7"/>
        <v>419.5</v>
      </c>
      <c r="I24" s="28"/>
      <c r="J24" s="86">
        <f t="shared" si="2"/>
        <v>21</v>
      </c>
      <c r="K24" s="85">
        <f t="shared" si="8"/>
        <v>459.90000000000015</v>
      </c>
      <c r="M24" s="4">
        <v>21</v>
      </c>
      <c r="N24" s="5">
        <f t="shared" si="3"/>
        <v>111.1</v>
      </c>
    </row>
    <row r="25" spans="1:14" ht="16.5">
      <c r="A25" s="86">
        <f t="shared" si="4"/>
        <v>22</v>
      </c>
      <c r="B25" s="79">
        <f t="shared" si="5"/>
        <v>298.2</v>
      </c>
      <c r="C25" s="249"/>
      <c r="D25" s="86">
        <f t="shared" si="0"/>
        <v>22</v>
      </c>
      <c r="E25" s="79">
        <f t="shared" si="6"/>
        <v>298.2</v>
      </c>
      <c r="G25" s="86">
        <f t="shared" si="1"/>
        <v>22</v>
      </c>
      <c r="H25" s="79">
        <f t="shared" si="7"/>
        <v>438</v>
      </c>
      <c r="I25" s="28"/>
      <c r="J25" s="86">
        <f t="shared" si="2"/>
        <v>22</v>
      </c>
      <c r="K25" s="85">
        <f t="shared" si="8"/>
        <v>480.20000000000016</v>
      </c>
      <c r="M25" s="4">
        <v>22</v>
      </c>
      <c r="N25" s="5">
        <f t="shared" si="3"/>
        <v>114.1</v>
      </c>
    </row>
    <row r="26" spans="1:14" ht="16.5">
      <c r="A26" s="86">
        <f t="shared" si="4"/>
        <v>23</v>
      </c>
      <c r="B26" s="79">
        <f t="shared" si="5"/>
        <v>310.8</v>
      </c>
      <c r="C26" s="249"/>
      <c r="D26" s="86">
        <f t="shared" si="0"/>
        <v>23</v>
      </c>
      <c r="E26" s="79">
        <f t="shared" si="6"/>
        <v>310.8</v>
      </c>
      <c r="G26" s="86">
        <f t="shared" si="1"/>
        <v>23</v>
      </c>
      <c r="H26" s="79">
        <f t="shared" si="7"/>
        <v>456.5</v>
      </c>
      <c r="I26" s="28"/>
      <c r="J26" s="86">
        <f t="shared" si="2"/>
        <v>23</v>
      </c>
      <c r="K26" s="85">
        <f t="shared" si="8"/>
        <v>500.50000000000017</v>
      </c>
      <c r="M26" s="4">
        <v>23</v>
      </c>
      <c r="N26" s="5">
        <f t="shared" si="3"/>
        <v>117.1</v>
      </c>
    </row>
    <row r="27" spans="1:14" ht="16.5">
      <c r="A27" s="86">
        <f t="shared" si="4"/>
        <v>24</v>
      </c>
      <c r="B27" s="79">
        <f t="shared" si="5"/>
        <v>323.40000000000003</v>
      </c>
      <c r="C27" s="249"/>
      <c r="D27" s="86">
        <f t="shared" si="0"/>
        <v>24</v>
      </c>
      <c r="E27" s="79">
        <f t="shared" si="6"/>
        <v>323.40000000000003</v>
      </c>
      <c r="G27" s="86">
        <f t="shared" si="1"/>
        <v>24</v>
      </c>
      <c r="H27" s="79">
        <f t="shared" si="7"/>
        <v>475</v>
      </c>
      <c r="I27" s="28"/>
      <c r="J27" s="86">
        <f t="shared" si="2"/>
        <v>24</v>
      </c>
      <c r="K27" s="85">
        <f t="shared" si="8"/>
        <v>520.80000000000018</v>
      </c>
      <c r="M27" s="4">
        <v>24</v>
      </c>
      <c r="N27" s="5">
        <f t="shared" si="3"/>
        <v>120.1</v>
      </c>
    </row>
    <row r="28" spans="1:14" ht="16.5">
      <c r="A28" s="86">
        <f t="shared" si="4"/>
        <v>25</v>
      </c>
      <c r="B28" s="79">
        <f t="shared" si="5"/>
        <v>336.00000000000006</v>
      </c>
      <c r="C28" s="249"/>
      <c r="D28" s="86">
        <f t="shared" si="0"/>
        <v>25</v>
      </c>
      <c r="E28" s="79">
        <f t="shared" si="6"/>
        <v>336.00000000000006</v>
      </c>
      <c r="G28" s="86">
        <f t="shared" si="1"/>
        <v>25</v>
      </c>
      <c r="H28" s="79">
        <f t="shared" si="7"/>
        <v>493.5</v>
      </c>
      <c r="I28" s="28"/>
      <c r="J28" s="86">
        <f t="shared" si="2"/>
        <v>25</v>
      </c>
      <c r="K28" s="85">
        <f t="shared" si="8"/>
        <v>541.10000000000014</v>
      </c>
      <c r="M28" s="4">
        <v>25</v>
      </c>
      <c r="N28" s="5">
        <f t="shared" si="3"/>
        <v>123.1</v>
      </c>
    </row>
    <row r="29" spans="1:14" ht="16.5">
      <c r="A29" s="86">
        <f t="shared" si="4"/>
        <v>26</v>
      </c>
      <c r="B29" s="79">
        <f t="shared" si="5"/>
        <v>348.60000000000008</v>
      </c>
      <c r="C29" s="249"/>
      <c r="D29" s="86">
        <f t="shared" si="0"/>
        <v>26</v>
      </c>
      <c r="E29" s="79">
        <f t="shared" si="6"/>
        <v>348.60000000000008</v>
      </c>
      <c r="G29" s="86">
        <f t="shared" si="1"/>
        <v>26</v>
      </c>
      <c r="H29" s="79">
        <f t="shared" si="7"/>
        <v>512</v>
      </c>
      <c r="I29" s="28"/>
      <c r="J29" s="86">
        <f t="shared" si="2"/>
        <v>26</v>
      </c>
      <c r="K29" s="85">
        <f t="shared" si="8"/>
        <v>561.40000000000009</v>
      </c>
      <c r="M29" s="4">
        <v>26</v>
      </c>
      <c r="N29" s="5">
        <f t="shared" si="3"/>
        <v>126.1</v>
      </c>
    </row>
    <row r="30" spans="1:14" ht="16.5">
      <c r="A30" s="86">
        <f t="shared" si="4"/>
        <v>27</v>
      </c>
      <c r="B30" s="79">
        <f t="shared" si="5"/>
        <v>361.2000000000001</v>
      </c>
      <c r="C30" s="249"/>
      <c r="D30" s="86">
        <f t="shared" si="0"/>
        <v>27</v>
      </c>
      <c r="E30" s="79">
        <f t="shared" si="6"/>
        <v>361.2000000000001</v>
      </c>
      <c r="G30" s="86">
        <f t="shared" si="1"/>
        <v>27</v>
      </c>
      <c r="H30" s="79">
        <f t="shared" si="7"/>
        <v>530.5</v>
      </c>
      <c r="I30" s="28"/>
      <c r="J30" s="86">
        <f t="shared" si="2"/>
        <v>27</v>
      </c>
      <c r="K30" s="85">
        <f t="shared" si="8"/>
        <v>581.70000000000005</v>
      </c>
      <c r="M30" s="4">
        <v>27</v>
      </c>
      <c r="N30" s="5">
        <f t="shared" si="3"/>
        <v>129.1</v>
      </c>
    </row>
    <row r="31" spans="1:14" ht="16.5">
      <c r="A31" s="86">
        <f t="shared" si="4"/>
        <v>28</v>
      </c>
      <c r="B31" s="79">
        <f t="shared" si="5"/>
        <v>373.80000000000013</v>
      </c>
      <c r="C31" s="249"/>
      <c r="D31" s="86">
        <f t="shared" si="0"/>
        <v>28</v>
      </c>
      <c r="E31" s="79">
        <f t="shared" si="6"/>
        <v>373.80000000000013</v>
      </c>
      <c r="G31" s="86">
        <f t="shared" si="1"/>
        <v>28</v>
      </c>
      <c r="H31" s="79">
        <f t="shared" si="7"/>
        <v>549</v>
      </c>
      <c r="I31" s="28"/>
      <c r="J31" s="86">
        <f t="shared" si="2"/>
        <v>28</v>
      </c>
      <c r="K31" s="85">
        <f t="shared" si="8"/>
        <v>602</v>
      </c>
      <c r="M31" s="4">
        <v>28</v>
      </c>
      <c r="N31" s="5">
        <f t="shared" si="3"/>
        <v>132.1</v>
      </c>
    </row>
    <row r="32" spans="1:14" ht="16.5">
      <c r="A32" s="86">
        <f t="shared" si="4"/>
        <v>29</v>
      </c>
      <c r="B32" s="79">
        <f t="shared" si="5"/>
        <v>386.40000000000015</v>
      </c>
      <c r="C32" s="249"/>
      <c r="D32" s="86">
        <f t="shared" si="0"/>
        <v>29</v>
      </c>
      <c r="E32" s="79">
        <f t="shared" si="6"/>
        <v>386.40000000000015</v>
      </c>
      <c r="G32" s="86">
        <f t="shared" si="1"/>
        <v>29</v>
      </c>
      <c r="H32" s="79">
        <f t="shared" si="7"/>
        <v>567.5</v>
      </c>
      <c r="I32" s="28"/>
      <c r="J32" s="86">
        <f t="shared" si="2"/>
        <v>29</v>
      </c>
      <c r="K32" s="85">
        <f t="shared" si="8"/>
        <v>622.29999999999995</v>
      </c>
      <c r="M32" s="4">
        <v>29</v>
      </c>
      <c r="N32" s="5">
        <f t="shared" si="3"/>
        <v>135.1</v>
      </c>
    </row>
    <row r="33" spans="1:14" ht="16.5">
      <c r="A33" s="86">
        <f t="shared" si="4"/>
        <v>30</v>
      </c>
      <c r="B33" s="79">
        <f t="shared" si="5"/>
        <v>399.00000000000017</v>
      </c>
      <c r="C33" s="249"/>
      <c r="D33" s="86">
        <f t="shared" si="0"/>
        <v>30</v>
      </c>
      <c r="E33" s="79">
        <f t="shared" si="6"/>
        <v>399.00000000000017</v>
      </c>
      <c r="G33" s="86">
        <f t="shared" si="1"/>
        <v>30</v>
      </c>
      <c r="H33" s="79">
        <f t="shared" si="7"/>
        <v>586</v>
      </c>
      <c r="I33" s="28"/>
      <c r="J33" s="86">
        <f t="shared" si="2"/>
        <v>30</v>
      </c>
      <c r="K33" s="85">
        <f t="shared" si="8"/>
        <v>642.59999999999991</v>
      </c>
      <c r="M33" s="4">
        <v>30</v>
      </c>
      <c r="N33" s="5">
        <f t="shared" si="3"/>
        <v>138.1</v>
      </c>
    </row>
    <row r="34" spans="1:14" ht="16.5">
      <c r="A34" s="86">
        <f>A33+1</f>
        <v>31</v>
      </c>
      <c r="B34" s="80">
        <f>B33+10.5</f>
        <v>409.50000000000017</v>
      </c>
      <c r="C34" s="249"/>
      <c r="D34" s="86">
        <f t="shared" si="0"/>
        <v>31</v>
      </c>
      <c r="E34" s="80">
        <f>E33+10.5</f>
        <v>409.50000000000017</v>
      </c>
      <c r="G34" s="86">
        <f t="shared" si="1"/>
        <v>31</v>
      </c>
      <c r="H34" s="80">
        <f>H33+15.4</f>
        <v>601.4</v>
      </c>
      <c r="I34" s="28"/>
      <c r="J34" s="86">
        <f t="shared" si="2"/>
        <v>31</v>
      </c>
      <c r="K34" s="80">
        <f>K33+16.9</f>
        <v>659.49999999999989</v>
      </c>
      <c r="M34" s="4">
        <v>31</v>
      </c>
      <c r="N34" s="5">
        <f t="shared" si="3"/>
        <v>141.1</v>
      </c>
    </row>
    <row r="35" spans="1:14" ht="16.5">
      <c r="A35" s="86">
        <f t="shared" ref="A35:A98" si="9">A34+1</f>
        <v>32</v>
      </c>
      <c r="B35" s="80">
        <f t="shared" ref="B35:B98" si="10">B34+10.5</f>
        <v>420.00000000000017</v>
      </c>
      <c r="C35" s="249"/>
      <c r="D35" s="86">
        <f t="shared" si="0"/>
        <v>32</v>
      </c>
      <c r="E35" s="80">
        <f t="shared" ref="E35:E98" si="11">E34+10.5</f>
        <v>420.00000000000017</v>
      </c>
      <c r="G35" s="86">
        <f t="shared" si="1"/>
        <v>32</v>
      </c>
      <c r="H35" s="80">
        <f t="shared" ref="H35:H98" si="12">H34+15.4</f>
        <v>616.79999999999995</v>
      </c>
      <c r="I35" s="28"/>
      <c r="J35" s="86">
        <f t="shared" si="2"/>
        <v>32</v>
      </c>
      <c r="K35" s="80">
        <f t="shared" ref="K35:K98" si="13">K34+16.9</f>
        <v>676.39999999999986</v>
      </c>
      <c r="M35" s="4">
        <v>32</v>
      </c>
      <c r="N35" s="5">
        <f t="shared" si="3"/>
        <v>144.1</v>
      </c>
    </row>
    <row r="36" spans="1:14" ht="16.5">
      <c r="A36" s="86">
        <f t="shared" si="9"/>
        <v>33</v>
      </c>
      <c r="B36" s="80">
        <f t="shared" si="10"/>
        <v>430.50000000000017</v>
      </c>
      <c r="C36" s="249"/>
      <c r="D36" s="86">
        <f t="shared" si="0"/>
        <v>33</v>
      </c>
      <c r="E36" s="80">
        <f t="shared" si="11"/>
        <v>430.50000000000017</v>
      </c>
      <c r="G36" s="86">
        <f t="shared" si="1"/>
        <v>33</v>
      </c>
      <c r="H36" s="80">
        <f t="shared" si="12"/>
        <v>632.19999999999993</v>
      </c>
      <c r="I36" s="28"/>
      <c r="J36" s="86">
        <f t="shared" si="2"/>
        <v>33</v>
      </c>
      <c r="K36" s="80">
        <f t="shared" si="13"/>
        <v>693.29999999999984</v>
      </c>
      <c r="M36" s="4">
        <v>33</v>
      </c>
      <c r="N36" s="5">
        <f t="shared" si="3"/>
        <v>147.1</v>
      </c>
    </row>
    <row r="37" spans="1:14" ht="16.5">
      <c r="A37" s="86">
        <f t="shared" si="9"/>
        <v>34</v>
      </c>
      <c r="B37" s="80">
        <f t="shared" si="10"/>
        <v>441.00000000000017</v>
      </c>
      <c r="C37" s="249"/>
      <c r="D37" s="86">
        <f t="shared" si="0"/>
        <v>34</v>
      </c>
      <c r="E37" s="80">
        <f t="shared" si="11"/>
        <v>441.00000000000017</v>
      </c>
      <c r="G37" s="86">
        <f t="shared" si="1"/>
        <v>34</v>
      </c>
      <c r="H37" s="80">
        <f t="shared" si="12"/>
        <v>647.59999999999991</v>
      </c>
      <c r="I37" s="28"/>
      <c r="J37" s="86">
        <f t="shared" si="2"/>
        <v>34</v>
      </c>
      <c r="K37" s="80">
        <f t="shared" si="13"/>
        <v>710.19999999999982</v>
      </c>
      <c r="M37" s="4">
        <v>34</v>
      </c>
      <c r="N37" s="5">
        <f t="shared" si="3"/>
        <v>150.1</v>
      </c>
    </row>
    <row r="38" spans="1:14" ht="16.5">
      <c r="A38" s="86">
        <f t="shared" si="9"/>
        <v>35</v>
      </c>
      <c r="B38" s="80">
        <f t="shared" si="10"/>
        <v>451.50000000000017</v>
      </c>
      <c r="C38" s="249"/>
      <c r="D38" s="86">
        <f t="shared" si="0"/>
        <v>35</v>
      </c>
      <c r="E38" s="80">
        <f t="shared" si="11"/>
        <v>451.50000000000017</v>
      </c>
      <c r="G38" s="86">
        <f t="shared" si="1"/>
        <v>35</v>
      </c>
      <c r="H38" s="80">
        <f t="shared" si="12"/>
        <v>662.99999999999989</v>
      </c>
      <c r="I38" s="28"/>
      <c r="J38" s="86">
        <f t="shared" si="2"/>
        <v>35</v>
      </c>
      <c r="K38" s="80">
        <f t="shared" si="13"/>
        <v>727.0999999999998</v>
      </c>
      <c r="M38" s="4">
        <v>35</v>
      </c>
      <c r="N38" s="5">
        <f t="shared" si="3"/>
        <v>153.1</v>
      </c>
    </row>
    <row r="39" spans="1:14" ht="16.5">
      <c r="A39" s="86">
        <f t="shared" si="9"/>
        <v>36</v>
      </c>
      <c r="B39" s="80">
        <f t="shared" si="10"/>
        <v>462.00000000000017</v>
      </c>
      <c r="C39" s="249"/>
      <c r="D39" s="86">
        <f t="shared" si="0"/>
        <v>36</v>
      </c>
      <c r="E39" s="80">
        <f t="shared" si="11"/>
        <v>462.00000000000017</v>
      </c>
      <c r="G39" s="86">
        <f t="shared" si="1"/>
        <v>36</v>
      </c>
      <c r="H39" s="80">
        <f t="shared" si="12"/>
        <v>678.39999999999986</v>
      </c>
      <c r="I39" s="28"/>
      <c r="J39" s="86">
        <f t="shared" si="2"/>
        <v>36</v>
      </c>
      <c r="K39" s="80">
        <f t="shared" si="13"/>
        <v>743.99999999999977</v>
      </c>
      <c r="M39" s="4">
        <v>36</v>
      </c>
      <c r="N39" s="5">
        <f t="shared" si="3"/>
        <v>156.1</v>
      </c>
    </row>
    <row r="40" spans="1:14" ht="16.5">
      <c r="A40" s="86">
        <f t="shared" si="9"/>
        <v>37</v>
      </c>
      <c r="B40" s="80">
        <f t="shared" si="10"/>
        <v>472.50000000000017</v>
      </c>
      <c r="C40" s="249"/>
      <c r="D40" s="86">
        <f t="shared" si="0"/>
        <v>37</v>
      </c>
      <c r="E40" s="80">
        <f t="shared" si="11"/>
        <v>472.50000000000017</v>
      </c>
      <c r="G40" s="86">
        <f t="shared" si="1"/>
        <v>37</v>
      </c>
      <c r="H40" s="80">
        <f t="shared" si="12"/>
        <v>693.79999999999984</v>
      </c>
      <c r="I40" s="28"/>
      <c r="J40" s="86">
        <f t="shared" si="2"/>
        <v>37</v>
      </c>
      <c r="K40" s="80">
        <f t="shared" si="13"/>
        <v>760.89999999999975</v>
      </c>
      <c r="M40" s="4">
        <v>37</v>
      </c>
      <c r="N40" s="5">
        <f t="shared" si="3"/>
        <v>159.1</v>
      </c>
    </row>
    <row r="41" spans="1:14" ht="16.5">
      <c r="A41" s="86">
        <f t="shared" si="9"/>
        <v>38</v>
      </c>
      <c r="B41" s="80">
        <f t="shared" si="10"/>
        <v>483.00000000000017</v>
      </c>
      <c r="C41" s="249"/>
      <c r="D41" s="86">
        <f t="shared" si="0"/>
        <v>38</v>
      </c>
      <c r="E41" s="80">
        <f t="shared" si="11"/>
        <v>483.00000000000017</v>
      </c>
      <c r="G41" s="86">
        <f t="shared" si="1"/>
        <v>38</v>
      </c>
      <c r="H41" s="80">
        <f t="shared" si="12"/>
        <v>709.19999999999982</v>
      </c>
      <c r="I41" s="28"/>
      <c r="J41" s="86">
        <f t="shared" si="2"/>
        <v>38</v>
      </c>
      <c r="K41" s="80">
        <f t="shared" si="13"/>
        <v>777.79999999999973</v>
      </c>
      <c r="M41" s="4">
        <v>38</v>
      </c>
      <c r="N41" s="5">
        <f t="shared" ref="N41:N72" si="14">N40+3</f>
        <v>162.1</v>
      </c>
    </row>
    <row r="42" spans="1:14" ht="16.5">
      <c r="A42" s="86">
        <f t="shared" si="9"/>
        <v>39</v>
      </c>
      <c r="B42" s="80">
        <f t="shared" si="10"/>
        <v>493.50000000000017</v>
      </c>
      <c r="C42" s="249"/>
      <c r="D42" s="86">
        <f t="shared" si="0"/>
        <v>39</v>
      </c>
      <c r="E42" s="80">
        <f t="shared" si="11"/>
        <v>493.50000000000017</v>
      </c>
      <c r="G42" s="86">
        <f t="shared" si="1"/>
        <v>39</v>
      </c>
      <c r="H42" s="80">
        <f t="shared" si="12"/>
        <v>724.5999999999998</v>
      </c>
      <c r="I42" s="28"/>
      <c r="J42" s="86">
        <f t="shared" si="2"/>
        <v>39</v>
      </c>
      <c r="K42" s="80">
        <f t="shared" si="13"/>
        <v>794.6999999999997</v>
      </c>
      <c r="M42" s="4">
        <v>39</v>
      </c>
      <c r="N42" s="5">
        <f t="shared" si="14"/>
        <v>165.1</v>
      </c>
    </row>
    <row r="43" spans="1:14" ht="16.5">
      <c r="A43" s="86">
        <f t="shared" si="9"/>
        <v>40</v>
      </c>
      <c r="B43" s="80">
        <f t="shared" si="10"/>
        <v>504.00000000000017</v>
      </c>
      <c r="C43" s="249"/>
      <c r="D43" s="86">
        <f t="shared" si="0"/>
        <v>40</v>
      </c>
      <c r="E43" s="80">
        <f t="shared" si="11"/>
        <v>504.00000000000017</v>
      </c>
      <c r="G43" s="86">
        <f t="shared" si="1"/>
        <v>40</v>
      </c>
      <c r="H43" s="80">
        <f t="shared" si="12"/>
        <v>739.99999999999977</v>
      </c>
      <c r="I43" s="28"/>
      <c r="J43" s="86">
        <f t="shared" si="2"/>
        <v>40</v>
      </c>
      <c r="K43" s="80">
        <f t="shared" si="13"/>
        <v>811.59999999999968</v>
      </c>
      <c r="M43" s="4">
        <v>40</v>
      </c>
      <c r="N43" s="5">
        <f t="shared" si="14"/>
        <v>168.1</v>
      </c>
    </row>
    <row r="44" spans="1:14" ht="16.5">
      <c r="A44" s="86">
        <f t="shared" si="9"/>
        <v>41</v>
      </c>
      <c r="B44" s="80">
        <f t="shared" si="10"/>
        <v>514.50000000000023</v>
      </c>
      <c r="C44" s="249"/>
      <c r="D44" s="86">
        <f t="shared" si="0"/>
        <v>41</v>
      </c>
      <c r="E44" s="80">
        <f t="shared" si="11"/>
        <v>514.50000000000023</v>
      </c>
      <c r="G44" s="86">
        <f t="shared" si="1"/>
        <v>41</v>
      </c>
      <c r="H44" s="80">
        <f t="shared" si="12"/>
        <v>755.39999999999975</v>
      </c>
      <c r="I44" s="28"/>
      <c r="J44" s="86">
        <f t="shared" si="2"/>
        <v>41</v>
      </c>
      <c r="K44" s="80">
        <f t="shared" si="13"/>
        <v>828.49999999999966</v>
      </c>
      <c r="M44" s="4">
        <v>41</v>
      </c>
      <c r="N44" s="5">
        <f t="shared" si="14"/>
        <v>171.1</v>
      </c>
    </row>
    <row r="45" spans="1:14" ht="16.5">
      <c r="A45" s="86">
        <f t="shared" si="9"/>
        <v>42</v>
      </c>
      <c r="B45" s="80">
        <f t="shared" si="10"/>
        <v>525.00000000000023</v>
      </c>
      <c r="C45" s="249"/>
      <c r="D45" s="86">
        <f t="shared" si="0"/>
        <v>42</v>
      </c>
      <c r="E45" s="80">
        <f t="shared" si="11"/>
        <v>525.00000000000023</v>
      </c>
      <c r="G45" s="86">
        <f t="shared" si="1"/>
        <v>42</v>
      </c>
      <c r="H45" s="80">
        <f t="shared" si="12"/>
        <v>770.79999999999973</v>
      </c>
      <c r="I45" s="28"/>
      <c r="J45" s="86">
        <f t="shared" si="2"/>
        <v>42</v>
      </c>
      <c r="K45" s="80">
        <f t="shared" si="13"/>
        <v>845.39999999999964</v>
      </c>
      <c r="M45" s="4">
        <v>42</v>
      </c>
      <c r="N45" s="5">
        <f t="shared" si="14"/>
        <v>174.1</v>
      </c>
    </row>
    <row r="46" spans="1:14" ht="16.5">
      <c r="A46" s="86">
        <f t="shared" si="9"/>
        <v>43</v>
      </c>
      <c r="B46" s="80">
        <f t="shared" si="10"/>
        <v>535.50000000000023</v>
      </c>
      <c r="C46" s="249"/>
      <c r="D46" s="86">
        <f t="shared" si="0"/>
        <v>43</v>
      </c>
      <c r="E46" s="80">
        <f t="shared" si="11"/>
        <v>535.50000000000023</v>
      </c>
      <c r="G46" s="86">
        <f t="shared" si="1"/>
        <v>43</v>
      </c>
      <c r="H46" s="80">
        <f t="shared" si="12"/>
        <v>786.1999999999997</v>
      </c>
      <c r="I46" s="28"/>
      <c r="J46" s="86">
        <f t="shared" si="2"/>
        <v>43</v>
      </c>
      <c r="K46" s="80">
        <f t="shared" si="13"/>
        <v>862.29999999999961</v>
      </c>
      <c r="M46" s="4">
        <v>43</v>
      </c>
      <c r="N46" s="5">
        <f t="shared" si="14"/>
        <v>177.1</v>
      </c>
    </row>
    <row r="47" spans="1:14" ht="16.5">
      <c r="A47" s="86">
        <f t="shared" si="9"/>
        <v>44</v>
      </c>
      <c r="B47" s="80">
        <f t="shared" si="10"/>
        <v>546.00000000000023</v>
      </c>
      <c r="C47" s="249"/>
      <c r="D47" s="86">
        <f t="shared" si="0"/>
        <v>44</v>
      </c>
      <c r="E47" s="80">
        <f t="shared" si="11"/>
        <v>546.00000000000023</v>
      </c>
      <c r="G47" s="86">
        <f t="shared" si="1"/>
        <v>44</v>
      </c>
      <c r="H47" s="80">
        <f t="shared" si="12"/>
        <v>801.59999999999968</v>
      </c>
      <c r="I47" s="28"/>
      <c r="J47" s="86">
        <f t="shared" si="2"/>
        <v>44</v>
      </c>
      <c r="K47" s="80">
        <f t="shared" si="13"/>
        <v>879.19999999999959</v>
      </c>
      <c r="M47" s="4">
        <v>44</v>
      </c>
      <c r="N47" s="5">
        <f t="shared" si="14"/>
        <v>180.1</v>
      </c>
    </row>
    <row r="48" spans="1:14" ht="16.5">
      <c r="A48" s="86">
        <f t="shared" si="9"/>
        <v>45</v>
      </c>
      <c r="B48" s="80">
        <f t="shared" si="10"/>
        <v>556.50000000000023</v>
      </c>
      <c r="C48" s="249"/>
      <c r="D48" s="86">
        <f t="shared" si="0"/>
        <v>45</v>
      </c>
      <c r="E48" s="80">
        <f t="shared" si="11"/>
        <v>556.50000000000023</v>
      </c>
      <c r="G48" s="86">
        <f t="shared" si="1"/>
        <v>45</v>
      </c>
      <c r="H48" s="80">
        <f t="shared" si="12"/>
        <v>816.99999999999966</v>
      </c>
      <c r="I48" s="28"/>
      <c r="J48" s="86">
        <f t="shared" si="2"/>
        <v>45</v>
      </c>
      <c r="K48" s="80">
        <f t="shared" si="13"/>
        <v>896.09999999999957</v>
      </c>
      <c r="M48" s="4">
        <v>45</v>
      </c>
      <c r="N48" s="5">
        <f t="shared" si="14"/>
        <v>183.1</v>
      </c>
    </row>
    <row r="49" spans="1:14" ht="16.5">
      <c r="A49" s="86">
        <f t="shared" si="9"/>
        <v>46</v>
      </c>
      <c r="B49" s="80">
        <f t="shared" si="10"/>
        <v>567.00000000000023</v>
      </c>
      <c r="C49" s="249"/>
      <c r="D49" s="86">
        <f t="shared" si="0"/>
        <v>46</v>
      </c>
      <c r="E49" s="80">
        <f t="shared" si="11"/>
        <v>567.00000000000023</v>
      </c>
      <c r="G49" s="86">
        <f t="shared" si="1"/>
        <v>46</v>
      </c>
      <c r="H49" s="80">
        <f t="shared" si="12"/>
        <v>832.39999999999964</v>
      </c>
      <c r="I49" s="28"/>
      <c r="J49" s="86">
        <f t="shared" si="2"/>
        <v>46</v>
      </c>
      <c r="K49" s="80">
        <f t="shared" si="13"/>
        <v>912.99999999999955</v>
      </c>
      <c r="M49" s="4">
        <v>46</v>
      </c>
      <c r="N49" s="5">
        <f t="shared" si="14"/>
        <v>186.1</v>
      </c>
    </row>
    <row r="50" spans="1:14" ht="16.5">
      <c r="A50" s="86">
        <f t="shared" si="9"/>
        <v>47</v>
      </c>
      <c r="B50" s="80">
        <f t="shared" si="10"/>
        <v>577.50000000000023</v>
      </c>
      <c r="C50" s="249"/>
      <c r="D50" s="86">
        <f t="shared" si="0"/>
        <v>47</v>
      </c>
      <c r="E50" s="80">
        <f t="shared" si="11"/>
        <v>577.50000000000023</v>
      </c>
      <c r="G50" s="86">
        <f t="shared" si="1"/>
        <v>47</v>
      </c>
      <c r="H50" s="80">
        <f t="shared" si="12"/>
        <v>847.79999999999961</v>
      </c>
      <c r="I50" s="28"/>
      <c r="J50" s="86">
        <f t="shared" si="2"/>
        <v>47</v>
      </c>
      <c r="K50" s="80">
        <f t="shared" si="13"/>
        <v>929.89999999999952</v>
      </c>
      <c r="M50" s="4">
        <v>47</v>
      </c>
      <c r="N50" s="5">
        <f t="shared" si="14"/>
        <v>189.1</v>
      </c>
    </row>
    <row r="51" spans="1:14" ht="16.5">
      <c r="A51" s="86">
        <f t="shared" si="9"/>
        <v>48</v>
      </c>
      <c r="B51" s="80">
        <f t="shared" si="10"/>
        <v>588.00000000000023</v>
      </c>
      <c r="C51" s="249"/>
      <c r="D51" s="86">
        <f t="shared" si="0"/>
        <v>48</v>
      </c>
      <c r="E51" s="80">
        <f t="shared" si="11"/>
        <v>588.00000000000023</v>
      </c>
      <c r="G51" s="86">
        <f t="shared" si="1"/>
        <v>48</v>
      </c>
      <c r="H51" s="80">
        <f t="shared" si="12"/>
        <v>863.19999999999959</v>
      </c>
      <c r="I51" s="28"/>
      <c r="J51" s="86">
        <f t="shared" si="2"/>
        <v>48</v>
      </c>
      <c r="K51" s="80">
        <f t="shared" si="13"/>
        <v>946.7999999999995</v>
      </c>
      <c r="M51" s="4">
        <v>48</v>
      </c>
      <c r="N51" s="5">
        <f t="shared" si="14"/>
        <v>192.1</v>
      </c>
    </row>
    <row r="52" spans="1:14" ht="16.5">
      <c r="A52" s="86">
        <f t="shared" si="9"/>
        <v>49</v>
      </c>
      <c r="B52" s="80">
        <f t="shared" si="10"/>
        <v>598.50000000000023</v>
      </c>
      <c r="C52" s="249"/>
      <c r="D52" s="86">
        <f t="shared" si="0"/>
        <v>49</v>
      </c>
      <c r="E52" s="80">
        <f t="shared" si="11"/>
        <v>598.50000000000023</v>
      </c>
      <c r="G52" s="86">
        <f t="shared" si="1"/>
        <v>49</v>
      </c>
      <c r="H52" s="80">
        <f t="shared" si="12"/>
        <v>878.59999999999957</v>
      </c>
      <c r="I52" s="28"/>
      <c r="J52" s="86">
        <f t="shared" si="2"/>
        <v>49</v>
      </c>
      <c r="K52" s="80">
        <f t="shared" si="13"/>
        <v>963.69999999999948</v>
      </c>
      <c r="M52" s="4">
        <v>49</v>
      </c>
      <c r="N52" s="5">
        <f t="shared" si="14"/>
        <v>195.1</v>
      </c>
    </row>
    <row r="53" spans="1:14" ht="16.5">
      <c r="A53" s="86">
        <f t="shared" si="9"/>
        <v>50</v>
      </c>
      <c r="B53" s="80">
        <f t="shared" si="10"/>
        <v>609.00000000000023</v>
      </c>
      <c r="C53" s="249"/>
      <c r="D53" s="86">
        <f t="shared" si="0"/>
        <v>50</v>
      </c>
      <c r="E53" s="80">
        <f t="shared" si="11"/>
        <v>609.00000000000023</v>
      </c>
      <c r="G53" s="86">
        <f t="shared" si="1"/>
        <v>50</v>
      </c>
      <c r="H53" s="80">
        <f t="shared" si="12"/>
        <v>893.99999999999955</v>
      </c>
      <c r="I53" s="28"/>
      <c r="J53" s="86">
        <f t="shared" si="2"/>
        <v>50</v>
      </c>
      <c r="K53" s="80">
        <f t="shared" si="13"/>
        <v>980.59999999999945</v>
      </c>
      <c r="M53" s="4">
        <v>50</v>
      </c>
      <c r="N53" s="5">
        <f t="shared" si="14"/>
        <v>198.1</v>
      </c>
    </row>
    <row r="54" spans="1:14" ht="16.5">
      <c r="A54" s="86">
        <f t="shared" si="9"/>
        <v>51</v>
      </c>
      <c r="B54" s="80">
        <f t="shared" si="10"/>
        <v>619.50000000000023</v>
      </c>
      <c r="C54" s="249"/>
      <c r="D54" s="86">
        <f t="shared" si="0"/>
        <v>51</v>
      </c>
      <c r="E54" s="80">
        <f t="shared" si="11"/>
        <v>619.50000000000023</v>
      </c>
      <c r="G54" s="86">
        <f t="shared" si="1"/>
        <v>51</v>
      </c>
      <c r="H54" s="80">
        <f t="shared" si="12"/>
        <v>909.39999999999952</v>
      </c>
      <c r="I54" s="28"/>
      <c r="J54" s="86">
        <f t="shared" si="2"/>
        <v>51</v>
      </c>
      <c r="K54" s="80">
        <f t="shared" si="13"/>
        <v>997.49999999999943</v>
      </c>
      <c r="M54" s="4">
        <v>51</v>
      </c>
      <c r="N54" s="5">
        <f t="shared" si="14"/>
        <v>201.1</v>
      </c>
    </row>
    <row r="55" spans="1:14" ht="16.5">
      <c r="A55" s="86">
        <f t="shared" si="9"/>
        <v>52</v>
      </c>
      <c r="B55" s="80">
        <f t="shared" si="10"/>
        <v>630.00000000000023</v>
      </c>
      <c r="C55" s="249"/>
      <c r="D55" s="86">
        <f t="shared" si="0"/>
        <v>52</v>
      </c>
      <c r="E55" s="80">
        <f t="shared" si="11"/>
        <v>630.00000000000023</v>
      </c>
      <c r="G55" s="86">
        <f t="shared" si="1"/>
        <v>52</v>
      </c>
      <c r="H55" s="80">
        <f t="shared" si="12"/>
        <v>924.7999999999995</v>
      </c>
      <c r="I55" s="28"/>
      <c r="J55" s="86">
        <f t="shared" si="2"/>
        <v>52</v>
      </c>
      <c r="K55" s="80">
        <f t="shared" si="13"/>
        <v>1014.3999999999994</v>
      </c>
      <c r="M55" s="4">
        <v>52</v>
      </c>
      <c r="N55" s="5">
        <f t="shared" si="14"/>
        <v>204.1</v>
      </c>
    </row>
    <row r="56" spans="1:14" ht="16.5">
      <c r="A56" s="86">
        <f t="shared" si="9"/>
        <v>53</v>
      </c>
      <c r="B56" s="80">
        <f t="shared" si="10"/>
        <v>640.50000000000023</v>
      </c>
      <c r="C56" s="249"/>
      <c r="D56" s="86">
        <f t="shared" si="0"/>
        <v>53</v>
      </c>
      <c r="E56" s="80">
        <f t="shared" si="11"/>
        <v>640.50000000000023</v>
      </c>
      <c r="G56" s="86">
        <f t="shared" si="1"/>
        <v>53</v>
      </c>
      <c r="H56" s="80">
        <f t="shared" si="12"/>
        <v>940.19999999999948</v>
      </c>
      <c r="I56" s="28"/>
      <c r="J56" s="86">
        <f t="shared" si="2"/>
        <v>53</v>
      </c>
      <c r="K56" s="80">
        <f t="shared" si="13"/>
        <v>1031.2999999999995</v>
      </c>
      <c r="M56" s="4">
        <v>53</v>
      </c>
      <c r="N56" s="5">
        <f t="shared" si="14"/>
        <v>207.1</v>
      </c>
    </row>
    <row r="57" spans="1:14" ht="16.5">
      <c r="A57" s="86">
        <f t="shared" si="9"/>
        <v>54</v>
      </c>
      <c r="B57" s="80">
        <f t="shared" si="10"/>
        <v>651.00000000000023</v>
      </c>
      <c r="C57" s="249"/>
      <c r="D57" s="86">
        <f t="shared" si="0"/>
        <v>54</v>
      </c>
      <c r="E57" s="80">
        <f t="shared" si="11"/>
        <v>651.00000000000023</v>
      </c>
      <c r="G57" s="86">
        <f t="shared" si="1"/>
        <v>54</v>
      </c>
      <c r="H57" s="80">
        <f t="shared" si="12"/>
        <v>955.59999999999945</v>
      </c>
      <c r="I57" s="28"/>
      <c r="J57" s="86">
        <f t="shared" si="2"/>
        <v>54</v>
      </c>
      <c r="K57" s="80">
        <f t="shared" si="13"/>
        <v>1048.1999999999996</v>
      </c>
      <c r="M57" s="4">
        <v>54</v>
      </c>
      <c r="N57" s="5">
        <f t="shared" si="14"/>
        <v>210.1</v>
      </c>
    </row>
    <row r="58" spans="1:14" ht="16.5">
      <c r="A58" s="86">
        <f t="shared" si="9"/>
        <v>55</v>
      </c>
      <c r="B58" s="80">
        <f t="shared" si="10"/>
        <v>661.50000000000023</v>
      </c>
      <c r="C58" s="249"/>
      <c r="D58" s="86">
        <f t="shared" si="0"/>
        <v>55</v>
      </c>
      <c r="E58" s="80">
        <f t="shared" si="11"/>
        <v>661.50000000000023</v>
      </c>
      <c r="G58" s="86">
        <f t="shared" si="1"/>
        <v>55</v>
      </c>
      <c r="H58" s="80">
        <f t="shared" si="12"/>
        <v>970.99999999999943</v>
      </c>
      <c r="I58" s="28"/>
      <c r="J58" s="86">
        <f t="shared" si="2"/>
        <v>55</v>
      </c>
      <c r="K58" s="80">
        <f t="shared" si="13"/>
        <v>1065.0999999999997</v>
      </c>
      <c r="M58" s="4">
        <v>55</v>
      </c>
      <c r="N58" s="5">
        <f t="shared" si="14"/>
        <v>213.1</v>
      </c>
    </row>
    <row r="59" spans="1:14" ht="16.5">
      <c r="A59" s="86">
        <f t="shared" si="9"/>
        <v>56</v>
      </c>
      <c r="B59" s="80">
        <f t="shared" si="10"/>
        <v>672.00000000000023</v>
      </c>
      <c r="C59" s="249"/>
      <c r="D59" s="86">
        <f t="shared" si="0"/>
        <v>56</v>
      </c>
      <c r="E59" s="80">
        <f t="shared" si="11"/>
        <v>672.00000000000023</v>
      </c>
      <c r="G59" s="86">
        <f t="shared" si="1"/>
        <v>56</v>
      </c>
      <c r="H59" s="80">
        <f t="shared" si="12"/>
        <v>986.39999999999941</v>
      </c>
      <c r="I59" s="28"/>
      <c r="J59" s="86">
        <f t="shared" si="2"/>
        <v>56</v>
      </c>
      <c r="K59" s="80">
        <f t="shared" si="13"/>
        <v>1081.9999999999998</v>
      </c>
      <c r="M59" s="4">
        <v>56</v>
      </c>
      <c r="N59" s="5">
        <f t="shared" si="14"/>
        <v>216.1</v>
      </c>
    </row>
    <row r="60" spans="1:14" ht="16.5">
      <c r="A60" s="86">
        <f t="shared" si="9"/>
        <v>57</v>
      </c>
      <c r="B60" s="80">
        <f t="shared" si="10"/>
        <v>682.50000000000023</v>
      </c>
      <c r="C60" s="249"/>
      <c r="D60" s="86">
        <f t="shared" si="0"/>
        <v>57</v>
      </c>
      <c r="E60" s="80">
        <f t="shared" si="11"/>
        <v>682.50000000000023</v>
      </c>
      <c r="G60" s="86">
        <f t="shared" si="1"/>
        <v>57</v>
      </c>
      <c r="H60" s="80">
        <f t="shared" si="12"/>
        <v>1001.7999999999994</v>
      </c>
      <c r="I60" s="28"/>
      <c r="J60" s="86">
        <f t="shared" si="2"/>
        <v>57</v>
      </c>
      <c r="K60" s="80">
        <f t="shared" si="13"/>
        <v>1098.8999999999999</v>
      </c>
      <c r="M60" s="4">
        <v>57</v>
      </c>
      <c r="N60" s="5">
        <f t="shared" si="14"/>
        <v>219.1</v>
      </c>
    </row>
    <row r="61" spans="1:14" ht="16.5">
      <c r="A61" s="86">
        <f t="shared" si="9"/>
        <v>58</v>
      </c>
      <c r="B61" s="80">
        <f t="shared" si="10"/>
        <v>693.00000000000023</v>
      </c>
      <c r="C61" s="249"/>
      <c r="D61" s="86">
        <f t="shared" si="0"/>
        <v>58</v>
      </c>
      <c r="E61" s="80">
        <f t="shared" si="11"/>
        <v>693.00000000000023</v>
      </c>
      <c r="G61" s="86">
        <f t="shared" si="1"/>
        <v>58</v>
      </c>
      <c r="H61" s="80">
        <f t="shared" si="12"/>
        <v>1017.1999999999994</v>
      </c>
      <c r="I61" s="28"/>
      <c r="J61" s="86">
        <f t="shared" si="2"/>
        <v>58</v>
      </c>
      <c r="K61" s="80">
        <f t="shared" si="13"/>
        <v>1115.8</v>
      </c>
      <c r="M61" s="4">
        <v>58</v>
      </c>
      <c r="N61" s="5">
        <f t="shared" si="14"/>
        <v>222.1</v>
      </c>
    </row>
    <row r="62" spans="1:14" ht="16.5">
      <c r="A62" s="86">
        <f t="shared" si="9"/>
        <v>59</v>
      </c>
      <c r="B62" s="80">
        <f t="shared" si="10"/>
        <v>703.50000000000023</v>
      </c>
      <c r="C62" s="249"/>
      <c r="D62" s="86">
        <f t="shared" si="0"/>
        <v>59</v>
      </c>
      <c r="E62" s="80">
        <f t="shared" si="11"/>
        <v>703.50000000000023</v>
      </c>
      <c r="G62" s="86">
        <f t="shared" si="1"/>
        <v>59</v>
      </c>
      <c r="H62" s="80">
        <f t="shared" si="12"/>
        <v>1032.5999999999995</v>
      </c>
      <c r="I62" s="28"/>
      <c r="J62" s="86">
        <f t="shared" si="2"/>
        <v>59</v>
      </c>
      <c r="K62" s="80">
        <f t="shared" si="13"/>
        <v>1132.7</v>
      </c>
      <c r="M62" s="4">
        <v>59</v>
      </c>
      <c r="N62" s="5">
        <f t="shared" si="14"/>
        <v>225.1</v>
      </c>
    </row>
    <row r="63" spans="1:14" ht="16.5">
      <c r="A63" s="86">
        <f t="shared" si="9"/>
        <v>60</v>
      </c>
      <c r="B63" s="80">
        <f t="shared" si="10"/>
        <v>714.00000000000023</v>
      </c>
      <c r="C63" s="249"/>
      <c r="D63" s="86">
        <f t="shared" si="0"/>
        <v>60</v>
      </c>
      <c r="E63" s="80">
        <f t="shared" si="11"/>
        <v>714.00000000000023</v>
      </c>
      <c r="G63" s="86">
        <f t="shared" si="1"/>
        <v>60</v>
      </c>
      <c r="H63" s="80">
        <f t="shared" si="12"/>
        <v>1047.9999999999995</v>
      </c>
      <c r="I63" s="28"/>
      <c r="J63" s="86">
        <f t="shared" si="2"/>
        <v>60</v>
      </c>
      <c r="K63" s="80">
        <f t="shared" si="13"/>
        <v>1149.6000000000001</v>
      </c>
      <c r="M63" s="4">
        <v>60</v>
      </c>
      <c r="N63" s="5">
        <f t="shared" si="14"/>
        <v>228.1</v>
      </c>
    </row>
    <row r="64" spans="1:14" ht="16.5">
      <c r="A64" s="86">
        <f t="shared" si="9"/>
        <v>61</v>
      </c>
      <c r="B64" s="80">
        <f t="shared" si="10"/>
        <v>724.50000000000023</v>
      </c>
      <c r="C64" s="249"/>
      <c r="D64" s="86">
        <f t="shared" si="0"/>
        <v>61</v>
      </c>
      <c r="E64" s="80">
        <f t="shared" si="11"/>
        <v>724.50000000000023</v>
      </c>
      <c r="G64" s="86">
        <f t="shared" si="1"/>
        <v>61</v>
      </c>
      <c r="H64" s="80">
        <f t="shared" si="12"/>
        <v>1063.3999999999996</v>
      </c>
      <c r="I64" s="28"/>
      <c r="J64" s="86">
        <f t="shared" si="2"/>
        <v>61</v>
      </c>
      <c r="K64" s="80">
        <f t="shared" si="13"/>
        <v>1166.5000000000002</v>
      </c>
      <c r="M64" s="4">
        <v>61</v>
      </c>
      <c r="N64" s="5">
        <f t="shared" si="14"/>
        <v>231.1</v>
      </c>
    </row>
    <row r="65" spans="1:14" ht="16.5">
      <c r="A65" s="86">
        <f t="shared" si="9"/>
        <v>62</v>
      </c>
      <c r="B65" s="80">
        <f t="shared" si="10"/>
        <v>735.00000000000023</v>
      </c>
      <c r="C65" s="249"/>
      <c r="D65" s="86">
        <f t="shared" si="0"/>
        <v>62</v>
      </c>
      <c r="E65" s="80">
        <f t="shared" si="11"/>
        <v>735.00000000000023</v>
      </c>
      <c r="G65" s="86">
        <f t="shared" si="1"/>
        <v>62</v>
      </c>
      <c r="H65" s="80">
        <f t="shared" si="12"/>
        <v>1078.7999999999997</v>
      </c>
      <c r="I65" s="28"/>
      <c r="J65" s="86">
        <f t="shared" si="2"/>
        <v>62</v>
      </c>
      <c r="K65" s="80">
        <f t="shared" si="13"/>
        <v>1183.4000000000003</v>
      </c>
      <c r="M65" s="4">
        <v>62</v>
      </c>
      <c r="N65" s="5">
        <f t="shared" si="14"/>
        <v>234.1</v>
      </c>
    </row>
    <row r="66" spans="1:14" ht="16.5">
      <c r="A66" s="86">
        <f t="shared" si="9"/>
        <v>63</v>
      </c>
      <c r="B66" s="80">
        <f t="shared" si="10"/>
        <v>745.50000000000023</v>
      </c>
      <c r="C66" s="249"/>
      <c r="D66" s="86">
        <f t="shared" si="0"/>
        <v>63</v>
      </c>
      <c r="E66" s="80">
        <f t="shared" si="11"/>
        <v>745.50000000000023</v>
      </c>
      <c r="G66" s="86">
        <f t="shared" si="1"/>
        <v>63</v>
      </c>
      <c r="H66" s="80">
        <f t="shared" si="12"/>
        <v>1094.1999999999998</v>
      </c>
      <c r="I66" s="28"/>
      <c r="J66" s="86">
        <f t="shared" si="2"/>
        <v>63</v>
      </c>
      <c r="K66" s="80">
        <f t="shared" si="13"/>
        <v>1200.3000000000004</v>
      </c>
      <c r="M66" s="4">
        <v>63</v>
      </c>
      <c r="N66" s="5">
        <f t="shared" si="14"/>
        <v>237.1</v>
      </c>
    </row>
    <row r="67" spans="1:14" ht="16.5">
      <c r="A67" s="86">
        <f t="shared" si="9"/>
        <v>64</v>
      </c>
      <c r="B67" s="80">
        <f t="shared" si="10"/>
        <v>756.00000000000023</v>
      </c>
      <c r="C67" s="249"/>
      <c r="D67" s="86">
        <f t="shared" si="0"/>
        <v>64</v>
      </c>
      <c r="E67" s="80">
        <f t="shared" si="11"/>
        <v>756.00000000000023</v>
      </c>
      <c r="G67" s="86">
        <f t="shared" si="1"/>
        <v>64</v>
      </c>
      <c r="H67" s="80">
        <f t="shared" si="12"/>
        <v>1109.5999999999999</v>
      </c>
      <c r="I67" s="28"/>
      <c r="J67" s="86">
        <f t="shared" si="2"/>
        <v>64</v>
      </c>
      <c r="K67" s="80">
        <f t="shared" si="13"/>
        <v>1217.2000000000005</v>
      </c>
      <c r="M67" s="4">
        <v>64</v>
      </c>
      <c r="N67" s="5">
        <f t="shared" si="14"/>
        <v>240.1</v>
      </c>
    </row>
    <row r="68" spans="1:14" ht="16.5">
      <c r="A68" s="86">
        <f t="shared" si="9"/>
        <v>65</v>
      </c>
      <c r="B68" s="80">
        <f t="shared" si="10"/>
        <v>766.50000000000023</v>
      </c>
      <c r="C68" s="249"/>
      <c r="D68" s="86">
        <f t="shared" si="0"/>
        <v>65</v>
      </c>
      <c r="E68" s="80">
        <f t="shared" si="11"/>
        <v>766.50000000000023</v>
      </c>
      <c r="G68" s="86">
        <f t="shared" si="1"/>
        <v>65</v>
      </c>
      <c r="H68" s="80">
        <f t="shared" si="12"/>
        <v>1125</v>
      </c>
      <c r="I68" s="28"/>
      <c r="J68" s="86">
        <f t="shared" si="2"/>
        <v>65</v>
      </c>
      <c r="K68" s="80">
        <f t="shared" si="13"/>
        <v>1234.1000000000006</v>
      </c>
      <c r="M68" s="4">
        <v>65</v>
      </c>
      <c r="N68" s="5">
        <f t="shared" si="14"/>
        <v>243.1</v>
      </c>
    </row>
    <row r="69" spans="1:14" ht="16.5">
      <c r="A69" s="86">
        <f t="shared" si="9"/>
        <v>66</v>
      </c>
      <c r="B69" s="80">
        <f t="shared" si="10"/>
        <v>777.00000000000023</v>
      </c>
      <c r="C69" s="249"/>
      <c r="D69" s="86">
        <f t="shared" ref="D69:D132" si="15">D68+1</f>
        <v>66</v>
      </c>
      <c r="E69" s="80">
        <f t="shared" si="11"/>
        <v>777.00000000000023</v>
      </c>
      <c r="G69" s="86">
        <f t="shared" si="1"/>
        <v>66</v>
      </c>
      <c r="H69" s="80">
        <f t="shared" si="12"/>
        <v>1140.4000000000001</v>
      </c>
      <c r="I69" s="28"/>
      <c r="J69" s="86">
        <f t="shared" si="2"/>
        <v>66</v>
      </c>
      <c r="K69" s="80">
        <f t="shared" si="13"/>
        <v>1251.0000000000007</v>
      </c>
      <c r="M69" s="4">
        <v>66</v>
      </c>
      <c r="N69" s="5">
        <f t="shared" si="14"/>
        <v>246.1</v>
      </c>
    </row>
    <row r="70" spans="1:14" ht="16.5">
      <c r="A70" s="86">
        <f t="shared" si="9"/>
        <v>67</v>
      </c>
      <c r="B70" s="80">
        <f t="shared" si="10"/>
        <v>787.50000000000023</v>
      </c>
      <c r="C70" s="249"/>
      <c r="D70" s="86">
        <f t="shared" si="15"/>
        <v>67</v>
      </c>
      <c r="E70" s="80">
        <f t="shared" si="11"/>
        <v>787.50000000000023</v>
      </c>
      <c r="G70" s="86">
        <f t="shared" ref="G70:G133" si="16">G69+1</f>
        <v>67</v>
      </c>
      <c r="H70" s="80">
        <f t="shared" si="12"/>
        <v>1155.8000000000002</v>
      </c>
      <c r="I70" s="28"/>
      <c r="J70" s="86">
        <f t="shared" ref="J70:J133" si="17">J69+1</f>
        <v>67</v>
      </c>
      <c r="K70" s="80">
        <f t="shared" si="13"/>
        <v>1267.9000000000008</v>
      </c>
      <c r="M70" s="4">
        <v>67</v>
      </c>
      <c r="N70" s="5">
        <f t="shared" si="14"/>
        <v>249.1</v>
      </c>
    </row>
    <row r="71" spans="1:14" ht="16.5">
      <c r="A71" s="86">
        <f t="shared" si="9"/>
        <v>68</v>
      </c>
      <c r="B71" s="80">
        <f t="shared" si="10"/>
        <v>798.00000000000023</v>
      </c>
      <c r="C71" s="249"/>
      <c r="D71" s="86">
        <f t="shared" si="15"/>
        <v>68</v>
      </c>
      <c r="E71" s="80">
        <f t="shared" si="11"/>
        <v>798.00000000000023</v>
      </c>
      <c r="G71" s="86">
        <f t="shared" si="16"/>
        <v>68</v>
      </c>
      <c r="H71" s="80">
        <f t="shared" si="12"/>
        <v>1171.2000000000003</v>
      </c>
      <c r="I71" s="28"/>
      <c r="J71" s="86">
        <f t="shared" si="17"/>
        <v>68</v>
      </c>
      <c r="K71" s="80">
        <f t="shared" si="13"/>
        <v>1284.8000000000009</v>
      </c>
      <c r="M71" s="4">
        <v>68</v>
      </c>
      <c r="N71" s="5">
        <f t="shared" si="14"/>
        <v>252.1</v>
      </c>
    </row>
    <row r="72" spans="1:14" ht="16.5">
      <c r="A72" s="86">
        <f t="shared" si="9"/>
        <v>69</v>
      </c>
      <c r="B72" s="80">
        <f t="shared" si="10"/>
        <v>808.50000000000023</v>
      </c>
      <c r="C72" s="249"/>
      <c r="D72" s="86">
        <f t="shared" si="15"/>
        <v>69</v>
      </c>
      <c r="E72" s="80">
        <f t="shared" si="11"/>
        <v>808.50000000000023</v>
      </c>
      <c r="G72" s="86">
        <f t="shared" si="16"/>
        <v>69</v>
      </c>
      <c r="H72" s="80">
        <f t="shared" si="12"/>
        <v>1186.6000000000004</v>
      </c>
      <c r="I72" s="28"/>
      <c r="J72" s="86">
        <f t="shared" si="17"/>
        <v>69</v>
      </c>
      <c r="K72" s="80">
        <f t="shared" si="13"/>
        <v>1301.700000000001</v>
      </c>
      <c r="M72" s="4">
        <v>69</v>
      </c>
      <c r="N72" s="5">
        <f t="shared" si="14"/>
        <v>255.1</v>
      </c>
    </row>
    <row r="73" spans="1:14" ht="16.5">
      <c r="A73" s="86">
        <f t="shared" si="9"/>
        <v>70</v>
      </c>
      <c r="B73" s="80">
        <f t="shared" si="10"/>
        <v>819.00000000000023</v>
      </c>
      <c r="C73" s="249"/>
      <c r="D73" s="86">
        <f t="shared" si="15"/>
        <v>70</v>
      </c>
      <c r="E73" s="80">
        <f t="shared" si="11"/>
        <v>819.00000000000023</v>
      </c>
      <c r="G73" s="86">
        <f t="shared" si="16"/>
        <v>70</v>
      </c>
      <c r="H73" s="80">
        <f t="shared" si="12"/>
        <v>1202.0000000000005</v>
      </c>
      <c r="I73" s="28"/>
      <c r="J73" s="86">
        <f t="shared" si="17"/>
        <v>70</v>
      </c>
      <c r="K73" s="80">
        <f t="shared" si="13"/>
        <v>1318.600000000001</v>
      </c>
      <c r="M73" s="4">
        <v>70</v>
      </c>
      <c r="N73" s="5">
        <f t="shared" ref="N73:N104" si="18">N72+3</f>
        <v>258.10000000000002</v>
      </c>
    </row>
    <row r="74" spans="1:14" ht="16.5">
      <c r="A74" s="86">
        <f t="shared" si="9"/>
        <v>71</v>
      </c>
      <c r="B74" s="80">
        <f t="shared" si="10"/>
        <v>829.50000000000023</v>
      </c>
      <c r="C74" s="249"/>
      <c r="D74" s="86">
        <f t="shared" si="15"/>
        <v>71</v>
      </c>
      <c r="E74" s="80">
        <f t="shared" si="11"/>
        <v>829.50000000000023</v>
      </c>
      <c r="G74" s="86">
        <f t="shared" si="16"/>
        <v>71</v>
      </c>
      <c r="H74" s="80">
        <f t="shared" si="12"/>
        <v>1217.4000000000005</v>
      </c>
      <c r="I74" s="28"/>
      <c r="J74" s="86">
        <f t="shared" si="17"/>
        <v>71</v>
      </c>
      <c r="K74" s="80">
        <f t="shared" si="13"/>
        <v>1335.5000000000011</v>
      </c>
      <c r="M74" s="4">
        <v>71</v>
      </c>
      <c r="N74" s="5">
        <f t="shared" si="18"/>
        <v>261.10000000000002</v>
      </c>
    </row>
    <row r="75" spans="1:14" ht="16.5">
      <c r="A75" s="86">
        <f t="shared" si="9"/>
        <v>72</v>
      </c>
      <c r="B75" s="80">
        <f t="shared" si="10"/>
        <v>840.00000000000023</v>
      </c>
      <c r="C75" s="249"/>
      <c r="D75" s="86">
        <f t="shared" si="15"/>
        <v>72</v>
      </c>
      <c r="E75" s="80">
        <f t="shared" si="11"/>
        <v>840.00000000000023</v>
      </c>
      <c r="G75" s="86">
        <f t="shared" si="16"/>
        <v>72</v>
      </c>
      <c r="H75" s="80">
        <f t="shared" si="12"/>
        <v>1232.8000000000006</v>
      </c>
      <c r="I75" s="28"/>
      <c r="J75" s="86">
        <f t="shared" si="17"/>
        <v>72</v>
      </c>
      <c r="K75" s="80">
        <f t="shared" si="13"/>
        <v>1352.4000000000012</v>
      </c>
      <c r="M75" s="4">
        <v>72</v>
      </c>
      <c r="N75" s="5">
        <f t="shared" si="18"/>
        <v>264.10000000000002</v>
      </c>
    </row>
    <row r="76" spans="1:14" ht="16.5">
      <c r="A76" s="86">
        <f t="shared" si="9"/>
        <v>73</v>
      </c>
      <c r="B76" s="80">
        <f t="shared" si="10"/>
        <v>850.50000000000023</v>
      </c>
      <c r="C76" s="249"/>
      <c r="D76" s="86">
        <f t="shared" si="15"/>
        <v>73</v>
      </c>
      <c r="E76" s="80">
        <f t="shared" si="11"/>
        <v>850.50000000000023</v>
      </c>
      <c r="G76" s="86">
        <f t="shared" si="16"/>
        <v>73</v>
      </c>
      <c r="H76" s="80">
        <f t="shared" si="12"/>
        <v>1248.2000000000007</v>
      </c>
      <c r="I76" s="28"/>
      <c r="J76" s="86">
        <f t="shared" si="17"/>
        <v>73</v>
      </c>
      <c r="K76" s="80">
        <f t="shared" si="13"/>
        <v>1369.3000000000013</v>
      </c>
      <c r="M76" s="4">
        <v>73</v>
      </c>
      <c r="N76" s="5">
        <f t="shared" si="18"/>
        <v>267.10000000000002</v>
      </c>
    </row>
    <row r="77" spans="1:14" ht="16.5">
      <c r="A77" s="86">
        <f t="shared" si="9"/>
        <v>74</v>
      </c>
      <c r="B77" s="80">
        <f t="shared" si="10"/>
        <v>861.00000000000023</v>
      </c>
      <c r="C77" s="249"/>
      <c r="D77" s="86">
        <f t="shared" si="15"/>
        <v>74</v>
      </c>
      <c r="E77" s="80">
        <f t="shared" si="11"/>
        <v>861.00000000000023</v>
      </c>
      <c r="G77" s="86">
        <f t="shared" si="16"/>
        <v>74</v>
      </c>
      <c r="H77" s="80">
        <f t="shared" si="12"/>
        <v>1263.6000000000008</v>
      </c>
      <c r="I77" s="28"/>
      <c r="J77" s="86">
        <f t="shared" si="17"/>
        <v>74</v>
      </c>
      <c r="K77" s="80">
        <f t="shared" si="13"/>
        <v>1386.2000000000014</v>
      </c>
      <c r="M77" s="4">
        <v>74</v>
      </c>
      <c r="N77" s="5">
        <f t="shared" si="18"/>
        <v>270.10000000000002</v>
      </c>
    </row>
    <row r="78" spans="1:14" ht="16.5">
      <c r="A78" s="86">
        <f t="shared" si="9"/>
        <v>75</v>
      </c>
      <c r="B78" s="80">
        <f t="shared" si="10"/>
        <v>871.50000000000023</v>
      </c>
      <c r="C78" s="249"/>
      <c r="D78" s="86">
        <f t="shared" si="15"/>
        <v>75</v>
      </c>
      <c r="E78" s="80">
        <f t="shared" si="11"/>
        <v>871.50000000000023</v>
      </c>
      <c r="G78" s="86">
        <f t="shared" si="16"/>
        <v>75</v>
      </c>
      <c r="H78" s="80">
        <f t="shared" si="12"/>
        <v>1279.0000000000009</v>
      </c>
      <c r="I78" s="28"/>
      <c r="J78" s="86">
        <f t="shared" si="17"/>
        <v>75</v>
      </c>
      <c r="K78" s="80">
        <f t="shared" si="13"/>
        <v>1403.1000000000015</v>
      </c>
      <c r="M78" s="4">
        <v>75</v>
      </c>
      <c r="N78" s="5">
        <f t="shared" si="18"/>
        <v>273.10000000000002</v>
      </c>
    </row>
    <row r="79" spans="1:14" ht="16.5">
      <c r="A79" s="86">
        <f t="shared" si="9"/>
        <v>76</v>
      </c>
      <c r="B79" s="80">
        <f t="shared" si="10"/>
        <v>882.00000000000023</v>
      </c>
      <c r="C79" s="249"/>
      <c r="D79" s="86">
        <f t="shared" si="15"/>
        <v>76</v>
      </c>
      <c r="E79" s="80">
        <f t="shared" si="11"/>
        <v>882.00000000000023</v>
      </c>
      <c r="G79" s="86">
        <f t="shared" si="16"/>
        <v>76</v>
      </c>
      <c r="H79" s="80">
        <f t="shared" si="12"/>
        <v>1294.400000000001</v>
      </c>
      <c r="I79" s="28"/>
      <c r="J79" s="86">
        <f t="shared" si="17"/>
        <v>76</v>
      </c>
      <c r="K79" s="80">
        <f t="shared" si="13"/>
        <v>1420.0000000000016</v>
      </c>
      <c r="M79" s="4">
        <v>76</v>
      </c>
      <c r="N79" s="5">
        <f t="shared" si="18"/>
        <v>276.10000000000002</v>
      </c>
    </row>
    <row r="80" spans="1:14" ht="16.5">
      <c r="A80" s="86">
        <f t="shared" si="9"/>
        <v>77</v>
      </c>
      <c r="B80" s="80">
        <f t="shared" si="10"/>
        <v>892.50000000000023</v>
      </c>
      <c r="C80" s="249"/>
      <c r="D80" s="86">
        <f t="shared" si="15"/>
        <v>77</v>
      </c>
      <c r="E80" s="80">
        <f t="shared" si="11"/>
        <v>892.50000000000023</v>
      </c>
      <c r="G80" s="86">
        <f t="shared" si="16"/>
        <v>77</v>
      </c>
      <c r="H80" s="80">
        <f t="shared" si="12"/>
        <v>1309.8000000000011</v>
      </c>
      <c r="I80" s="28"/>
      <c r="J80" s="86">
        <f t="shared" si="17"/>
        <v>77</v>
      </c>
      <c r="K80" s="80">
        <f t="shared" si="13"/>
        <v>1436.9000000000017</v>
      </c>
      <c r="M80" s="4">
        <v>77</v>
      </c>
      <c r="N80" s="5">
        <f t="shared" si="18"/>
        <v>279.10000000000002</v>
      </c>
    </row>
    <row r="81" spans="1:14" ht="16.5">
      <c r="A81" s="86">
        <f t="shared" si="9"/>
        <v>78</v>
      </c>
      <c r="B81" s="80">
        <f t="shared" si="10"/>
        <v>903.00000000000023</v>
      </c>
      <c r="C81" s="249"/>
      <c r="D81" s="86">
        <f t="shared" si="15"/>
        <v>78</v>
      </c>
      <c r="E81" s="80">
        <f t="shared" si="11"/>
        <v>903.00000000000023</v>
      </c>
      <c r="G81" s="86">
        <f t="shared" si="16"/>
        <v>78</v>
      </c>
      <c r="H81" s="80">
        <f t="shared" si="12"/>
        <v>1325.2000000000012</v>
      </c>
      <c r="I81" s="28"/>
      <c r="J81" s="86">
        <f t="shared" si="17"/>
        <v>78</v>
      </c>
      <c r="K81" s="80">
        <f t="shared" si="13"/>
        <v>1453.8000000000018</v>
      </c>
      <c r="M81" s="4">
        <v>78</v>
      </c>
      <c r="N81" s="5">
        <f t="shared" si="18"/>
        <v>282.10000000000002</v>
      </c>
    </row>
    <row r="82" spans="1:14" ht="16.5">
      <c r="A82" s="86">
        <f t="shared" si="9"/>
        <v>79</v>
      </c>
      <c r="B82" s="80">
        <f t="shared" si="10"/>
        <v>913.50000000000023</v>
      </c>
      <c r="C82" s="249"/>
      <c r="D82" s="86">
        <f t="shared" si="15"/>
        <v>79</v>
      </c>
      <c r="E82" s="80">
        <f t="shared" si="11"/>
        <v>913.50000000000023</v>
      </c>
      <c r="G82" s="86">
        <f t="shared" si="16"/>
        <v>79</v>
      </c>
      <c r="H82" s="80">
        <f t="shared" si="12"/>
        <v>1340.6000000000013</v>
      </c>
      <c r="I82" s="28"/>
      <c r="J82" s="86">
        <f t="shared" si="17"/>
        <v>79</v>
      </c>
      <c r="K82" s="80">
        <f t="shared" si="13"/>
        <v>1470.7000000000019</v>
      </c>
      <c r="M82" s="4">
        <v>79</v>
      </c>
      <c r="N82" s="5">
        <f t="shared" si="18"/>
        <v>285.10000000000002</v>
      </c>
    </row>
    <row r="83" spans="1:14" ht="16.5">
      <c r="A83" s="86">
        <f t="shared" si="9"/>
        <v>80</v>
      </c>
      <c r="B83" s="80">
        <f t="shared" si="10"/>
        <v>924.00000000000023</v>
      </c>
      <c r="C83" s="249"/>
      <c r="D83" s="86">
        <f t="shared" si="15"/>
        <v>80</v>
      </c>
      <c r="E83" s="80">
        <f t="shared" si="11"/>
        <v>924.00000000000023</v>
      </c>
      <c r="G83" s="86">
        <f t="shared" si="16"/>
        <v>80</v>
      </c>
      <c r="H83" s="80">
        <f t="shared" si="12"/>
        <v>1356.0000000000014</v>
      </c>
      <c r="I83" s="28"/>
      <c r="J83" s="86">
        <f t="shared" si="17"/>
        <v>80</v>
      </c>
      <c r="K83" s="80">
        <f t="shared" si="13"/>
        <v>1487.600000000002</v>
      </c>
      <c r="M83" s="4">
        <v>80</v>
      </c>
      <c r="N83" s="5">
        <f t="shared" si="18"/>
        <v>288.10000000000002</v>
      </c>
    </row>
    <row r="84" spans="1:14" ht="16.5">
      <c r="A84" s="86">
        <f t="shared" si="9"/>
        <v>81</v>
      </c>
      <c r="B84" s="80">
        <f t="shared" si="10"/>
        <v>934.50000000000023</v>
      </c>
      <c r="C84" s="249"/>
      <c r="D84" s="86">
        <f t="shared" si="15"/>
        <v>81</v>
      </c>
      <c r="E84" s="80">
        <f t="shared" si="11"/>
        <v>934.50000000000023</v>
      </c>
      <c r="G84" s="86">
        <f t="shared" si="16"/>
        <v>81</v>
      </c>
      <c r="H84" s="80">
        <f t="shared" si="12"/>
        <v>1371.4000000000015</v>
      </c>
      <c r="I84" s="28"/>
      <c r="J84" s="86">
        <f t="shared" si="17"/>
        <v>81</v>
      </c>
      <c r="K84" s="80">
        <f t="shared" si="13"/>
        <v>1504.500000000002</v>
      </c>
      <c r="M84" s="4">
        <v>81</v>
      </c>
      <c r="N84" s="5">
        <f t="shared" si="18"/>
        <v>291.10000000000002</v>
      </c>
    </row>
    <row r="85" spans="1:14" ht="16.5">
      <c r="A85" s="86">
        <f t="shared" si="9"/>
        <v>82</v>
      </c>
      <c r="B85" s="80">
        <f t="shared" si="10"/>
        <v>945.00000000000023</v>
      </c>
      <c r="C85" s="249"/>
      <c r="D85" s="86">
        <f t="shared" si="15"/>
        <v>82</v>
      </c>
      <c r="E85" s="80">
        <f t="shared" si="11"/>
        <v>945.00000000000023</v>
      </c>
      <c r="G85" s="86">
        <f t="shared" si="16"/>
        <v>82</v>
      </c>
      <c r="H85" s="80">
        <f t="shared" si="12"/>
        <v>1386.8000000000015</v>
      </c>
      <c r="I85" s="28"/>
      <c r="J85" s="86">
        <f t="shared" si="17"/>
        <v>82</v>
      </c>
      <c r="K85" s="80">
        <f t="shared" si="13"/>
        <v>1521.4000000000021</v>
      </c>
      <c r="M85" s="4">
        <v>82</v>
      </c>
      <c r="N85" s="5">
        <f t="shared" si="18"/>
        <v>294.10000000000002</v>
      </c>
    </row>
    <row r="86" spans="1:14" ht="16.5">
      <c r="A86" s="86">
        <f t="shared" si="9"/>
        <v>83</v>
      </c>
      <c r="B86" s="80">
        <f t="shared" si="10"/>
        <v>955.50000000000023</v>
      </c>
      <c r="C86" s="249"/>
      <c r="D86" s="86">
        <f t="shared" si="15"/>
        <v>83</v>
      </c>
      <c r="E86" s="80">
        <f t="shared" si="11"/>
        <v>955.50000000000023</v>
      </c>
      <c r="G86" s="86">
        <f t="shared" si="16"/>
        <v>83</v>
      </c>
      <c r="H86" s="80">
        <f t="shared" si="12"/>
        <v>1402.2000000000016</v>
      </c>
      <c r="I86" s="28"/>
      <c r="J86" s="86">
        <f t="shared" si="17"/>
        <v>83</v>
      </c>
      <c r="K86" s="80">
        <f t="shared" si="13"/>
        <v>1538.3000000000022</v>
      </c>
      <c r="M86" s="4">
        <v>83</v>
      </c>
      <c r="N86" s="5">
        <f t="shared" si="18"/>
        <v>297.10000000000002</v>
      </c>
    </row>
    <row r="87" spans="1:14" ht="16.5">
      <c r="A87" s="86">
        <f t="shared" si="9"/>
        <v>84</v>
      </c>
      <c r="B87" s="80">
        <f t="shared" si="10"/>
        <v>966.00000000000023</v>
      </c>
      <c r="C87" s="249"/>
      <c r="D87" s="86">
        <f t="shared" si="15"/>
        <v>84</v>
      </c>
      <c r="E87" s="80">
        <f t="shared" si="11"/>
        <v>966.00000000000023</v>
      </c>
      <c r="G87" s="86">
        <f t="shared" si="16"/>
        <v>84</v>
      </c>
      <c r="H87" s="80">
        <f t="shared" si="12"/>
        <v>1417.6000000000017</v>
      </c>
      <c r="I87" s="28"/>
      <c r="J87" s="86">
        <f t="shared" si="17"/>
        <v>84</v>
      </c>
      <c r="K87" s="80">
        <f t="shared" si="13"/>
        <v>1555.2000000000023</v>
      </c>
      <c r="M87" s="4">
        <v>84</v>
      </c>
      <c r="N87" s="5">
        <f t="shared" si="18"/>
        <v>300.10000000000002</v>
      </c>
    </row>
    <row r="88" spans="1:14" ht="16.5">
      <c r="A88" s="86">
        <f t="shared" si="9"/>
        <v>85</v>
      </c>
      <c r="B88" s="80">
        <f t="shared" si="10"/>
        <v>976.50000000000023</v>
      </c>
      <c r="C88" s="249"/>
      <c r="D88" s="86">
        <f t="shared" si="15"/>
        <v>85</v>
      </c>
      <c r="E88" s="80">
        <f t="shared" si="11"/>
        <v>976.50000000000023</v>
      </c>
      <c r="G88" s="86">
        <f t="shared" si="16"/>
        <v>85</v>
      </c>
      <c r="H88" s="80">
        <f t="shared" si="12"/>
        <v>1433.0000000000018</v>
      </c>
      <c r="I88" s="28"/>
      <c r="J88" s="86">
        <f t="shared" si="17"/>
        <v>85</v>
      </c>
      <c r="K88" s="80">
        <f t="shared" si="13"/>
        <v>1572.1000000000024</v>
      </c>
      <c r="M88" s="4">
        <v>85</v>
      </c>
      <c r="N88" s="5">
        <f t="shared" si="18"/>
        <v>303.10000000000002</v>
      </c>
    </row>
    <row r="89" spans="1:14" ht="16.5">
      <c r="A89" s="86">
        <f t="shared" si="9"/>
        <v>86</v>
      </c>
      <c r="B89" s="80">
        <f t="shared" si="10"/>
        <v>987.00000000000023</v>
      </c>
      <c r="C89" s="249"/>
      <c r="D89" s="86">
        <f t="shared" si="15"/>
        <v>86</v>
      </c>
      <c r="E89" s="80">
        <f t="shared" si="11"/>
        <v>987.00000000000023</v>
      </c>
      <c r="G89" s="86">
        <f t="shared" si="16"/>
        <v>86</v>
      </c>
      <c r="H89" s="80">
        <f t="shared" si="12"/>
        <v>1448.4000000000019</v>
      </c>
      <c r="I89" s="28"/>
      <c r="J89" s="86">
        <f t="shared" si="17"/>
        <v>86</v>
      </c>
      <c r="K89" s="80">
        <f t="shared" si="13"/>
        <v>1589.0000000000025</v>
      </c>
      <c r="M89" s="4">
        <v>86</v>
      </c>
      <c r="N89" s="5">
        <f t="shared" si="18"/>
        <v>306.10000000000002</v>
      </c>
    </row>
    <row r="90" spans="1:14" ht="16.5">
      <c r="A90" s="86">
        <f t="shared" si="9"/>
        <v>87</v>
      </c>
      <c r="B90" s="80">
        <f t="shared" si="10"/>
        <v>997.50000000000023</v>
      </c>
      <c r="C90" s="249"/>
      <c r="D90" s="86">
        <f t="shared" si="15"/>
        <v>87</v>
      </c>
      <c r="E90" s="80">
        <f t="shared" si="11"/>
        <v>997.50000000000023</v>
      </c>
      <c r="G90" s="86">
        <f t="shared" si="16"/>
        <v>87</v>
      </c>
      <c r="H90" s="80">
        <f t="shared" si="12"/>
        <v>1463.800000000002</v>
      </c>
      <c r="I90" s="28"/>
      <c r="J90" s="86">
        <f t="shared" si="17"/>
        <v>87</v>
      </c>
      <c r="K90" s="80">
        <f t="shared" si="13"/>
        <v>1605.9000000000026</v>
      </c>
      <c r="M90" s="4">
        <v>87</v>
      </c>
      <c r="N90" s="5">
        <f t="shared" si="18"/>
        <v>309.10000000000002</v>
      </c>
    </row>
    <row r="91" spans="1:14" ht="16.5">
      <c r="A91" s="86">
        <f t="shared" si="9"/>
        <v>88</v>
      </c>
      <c r="B91" s="80">
        <f t="shared" si="10"/>
        <v>1008.0000000000002</v>
      </c>
      <c r="C91" s="249"/>
      <c r="D91" s="86">
        <f t="shared" si="15"/>
        <v>88</v>
      </c>
      <c r="E91" s="80">
        <f t="shared" si="11"/>
        <v>1008.0000000000002</v>
      </c>
      <c r="G91" s="86">
        <f t="shared" si="16"/>
        <v>88</v>
      </c>
      <c r="H91" s="80">
        <f t="shared" si="12"/>
        <v>1479.2000000000021</v>
      </c>
      <c r="I91" s="28"/>
      <c r="J91" s="86">
        <f t="shared" si="17"/>
        <v>88</v>
      </c>
      <c r="K91" s="80">
        <f t="shared" si="13"/>
        <v>1622.8000000000027</v>
      </c>
      <c r="M91" s="4">
        <v>88</v>
      </c>
      <c r="N91" s="5">
        <f t="shared" si="18"/>
        <v>312.10000000000002</v>
      </c>
    </row>
    <row r="92" spans="1:14" ht="16.5">
      <c r="A92" s="86">
        <f t="shared" si="9"/>
        <v>89</v>
      </c>
      <c r="B92" s="80">
        <f t="shared" si="10"/>
        <v>1018.5000000000002</v>
      </c>
      <c r="C92" s="249"/>
      <c r="D92" s="86">
        <f t="shared" si="15"/>
        <v>89</v>
      </c>
      <c r="E92" s="80">
        <f t="shared" si="11"/>
        <v>1018.5000000000002</v>
      </c>
      <c r="G92" s="86">
        <f t="shared" si="16"/>
        <v>89</v>
      </c>
      <c r="H92" s="80">
        <f t="shared" si="12"/>
        <v>1494.6000000000022</v>
      </c>
      <c r="I92" s="28"/>
      <c r="J92" s="86">
        <f t="shared" si="17"/>
        <v>89</v>
      </c>
      <c r="K92" s="80">
        <f t="shared" si="13"/>
        <v>1639.7000000000028</v>
      </c>
      <c r="M92" s="4">
        <v>89</v>
      </c>
      <c r="N92" s="5">
        <f t="shared" si="18"/>
        <v>315.10000000000002</v>
      </c>
    </row>
    <row r="93" spans="1:14" ht="16.5">
      <c r="A93" s="86">
        <f t="shared" si="9"/>
        <v>90</v>
      </c>
      <c r="B93" s="80">
        <f t="shared" si="10"/>
        <v>1029.0000000000002</v>
      </c>
      <c r="C93" s="249"/>
      <c r="D93" s="86">
        <f t="shared" si="15"/>
        <v>90</v>
      </c>
      <c r="E93" s="80">
        <f t="shared" si="11"/>
        <v>1029.0000000000002</v>
      </c>
      <c r="G93" s="86">
        <f t="shared" si="16"/>
        <v>90</v>
      </c>
      <c r="H93" s="80">
        <f t="shared" si="12"/>
        <v>1510.0000000000023</v>
      </c>
      <c r="I93" s="28"/>
      <c r="J93" s="86">
        <f t="shared" si="17"/>
        <v>90</v>
      </c>
      <c r="K93" s="80">
        <f t="shared" si="13"/>
        <v>1656.6000000000029</v>
      </c>
      <c r="M93" s="4">
        <v>90</v>
      </c>
      <c r="N93" s="5">
        <f t="shared" si="18"/>
        <v>318.10000000000002</v>
      </c>
    </row>
    <row r="94" spans="1:14" ht="16.5">
      <c r="A94" s="86">
        <f t="shared" si="9"/>
        <v>91</v>
      </c>
      <c r="B94" s="80">
        <f t="shared" si="10"/>
        <v>1039.5000000000002</v>
      </c>
      <c r="C94" s="249"/>
      <c r="D94" s="86">
        <f t="shared" si="15"/>
        <v>91</v>
      </c>
      <c r="E94" s="80">
        <f t="shared" si="11"/>
        <v>1039.5000000000002</v>
      </c>
      <c r="G94" s="86">
        <f t="shared" si="16"/>
        <v>91</v>
      </c>
      <c r="H94" s="80">
        <f t="shared" si="12"/>
        <v>1525.4000000000024</v>
      </c>
      <c r="I94" s="28"/>
      <c r="J94" s="86">
        <f t="shared" si="17"/>
        <v>91</v>
      </c>
      <c r="K94" s="80">
        <f t="shared" si="13"/>
        <v>1673.500000000003</v>
      </c>
      <c r="M94" s="4">
        <v>91</v>
      </c>
      <c r="N94" s="5">
        <f t="shared" si="18"/>
        <v>321.10000000000002</v>
      </c>
    </row>
    <row r="95" spans="1:14" ht="16.5">
      <c r="A95" s="86">
        <f t="shared" si="9"/>
        <v>92</v>
      </c>
      <c r="B95" s="80">
        <f t="shared" si="10"/>
        <v>1050.0000000000002</v>
      </c>
      <c r="C95" s="249"/>
      <c r="D95" s="86">
        <f t="shared" si="15"/>
        <v>92</v>
      </c>
      <c r="E95" s="80">
        <f t="shared" si="11"/>
        <v>1050.0000000000002</v>
      </c>
      <c r="G95" s="86">
        <f t="shared" si="16"/>
        <v>92</v>
      </c>
      <c r="H95" s="80">
        <f t="shared" si="12"/>
        <v>1540.8000000000025</v>
      </c>
      <c r="I95" s="28"/>
      <c r="J95" s="86">
        <f t="shared" si="17"/>
        <v>92</v>
      </c>
      <c r="K95" s="80">
        <f t="shared" si="13"/>
        <v>1690.400000000003</v>
      </c>
      <c r="M95" s="4">
        <v>92</v>
      </c>
      <c r="N95" s="5">
        <f t="shared" si="18"/>
        <v>324.10000000000002</v>
      </c>
    </row>
    <row r="96" spans="1:14" ht="16.5">
      <c r="A96" s="86">
        <f t="shared" si="9"/>
        <v>93</v>
      </c>
      <c r="B96" s="80">
        <f t="shared" si="10"/>
        <v>1060.5000000000002</v>
      </c>
      <c r="C96" s="249"/>
      <c r="D96" s="86">
        <f t="shared" si="15"/>
        <v>93</v>
      </c>
      <c r="E96" s="80">
        <f t="shared" si="11"/>
        <v>1060.5000000000002</v>
      </c>
      <c r="G96" s="86">
        <f t="shared" si="16"/>
        <v>93</v>
      </c>
      <c r="H96" s="80">
        <f t="shared" si="12"/>
        <v>1556.2000000000025</v>
      </c>
      <c r="I96" s="28"/>
      <c r="J96" s="86">
        <f t="shared" si="17"/>
        <v>93</v>
      </c>
      <c r="K96" s="80">
        <f t="shared" si="13"/>
        <v>1707.3000000000031</v>
      </c>
      <c r="M96" s="4">
        <v>93</v>
      </c>
      <c r="N96" s="5">
        <f t="shared" si="18"/>
        <v>327.10000000000002</v>
      </c>
    </row>
    <row r="97" spans="1:14" ht="16.5">
      <c r="A97" s="86">
        <f t="shared" si="9"/>
        <v>94</v>
      </c>
      <c r="B97" s="80">
        <f t="shared" si="10"/>
        <v>1071.0000000000002</v>
      </c>
      <c r="C97" s="249"/>
      <c r="D97" s="86">
        <f t="shared" si="15"/>
        <v>94</v>
      </c>
      <c r="E97" s="80">
        <f t="shared" si="11"/>
        <v>1071.0000000000002</v>
      </c>
      <c r="G97" s="86">
        <f t="shared" si="16"/>
        <v>94</v>
      </c>
      <c r="H97" s="80">
        <f t="shared" si="12"/>
        <v>1571.6000000000026</v>
      </c>
      <c r="I97" s="28"/>
      <c r="J97" s="86">
        <f t="shared" si="17"/>
        <v>94</v>
      </c>
      <c r="K97" s="80">
        <f t="shared" si="13"/>
        <v>1724.2000000000032</v>
      </c>
      <c r="M97" s="4">
        <v>94</v>
      </c>
      <c r="N97" s="5">
        <f t="shared" si="18"/>
        <v>330.1</v>
      </c>
    </row>
    <row r="98" spans="1:14" ht="16.5">
      <c r="A98" s="86">
        <f t="shared" si="9"/>
        <v>95</v>
      </c>
      <c r="B98" s="80">
        <f t="shared" si="10"/>
        <v>1081.5000000000002</v>
      </c>
      <c r="C98" s="249"/>
      <c r="D98" s="86">
        <f t="shared" si="15"/>
        <v>95</v>
      </c>
      <c r="E98" s="80">
        <f t="shared" si="11"/>
        <v>1081.5000000000002</v>
      </c>
      <c r="G98" s="86">
        <f t="shared" si="16"/>
        <v>95</v>
      </c>
      <c r="H98" s="80">
        <f t="shared" si="12"/>
        <v>1587.0000000000027</v>
      </c>
      <c r="I98" s="28"/>
      <c r="J98" s="86">
        <f t="shared" si="17"/>
        <v>95</v>
      </c>
      <c r="K98" s="80">
        <f t="shared" si="13"/>
        <v>1741.1000000000033</v>
      </c>
      <c r="M98" s="4">
        <v>95</v>
      </c>
      <c r="N98" s="5">
        <f t="shared" si="18"/>
        <v>333.1</v>
      </c>
    </row>
    <row r="99" spans="1:14" ht="16.5">
      <c r="A99" s="86">
        <f t="shared" ref="A99:A162" si="19">A98+1</f>
        <v>96</v>
      </c>
      <c r="B99" s="80">
        <f t="shared" ref="B99:B162" si="20">B98+10.5</f>
        <v>1092.0000000000002</v>
      </c>
      <c r="C99" s="249"/>
      <c r="D99" s="86">
        <f t="shared" si="15"/>
        <v>96</v>
      </c>
      <c r="E99" s="80">
        <f t="shared" ref="E99:E162" si="21">E98+10.5</f>
        <v>1092.0000000000002</v>
      </c>
      <c r="G99" s="86">
        <f t="shared" si="16"/>
        <v>96</v>
      </c>
      <c r="H99" s="80">
        <f t="shared" ref="H99:H162" si="22">H98+15.4</f>
        <v>1602.4000000000028</v>
      </c>
      <c r="I99" s="28"/>
      <c r="J99" s="86">
        <f t="shared" si="17"/>
        <v>96</v>
      </c>
      <c r="K99" s="80">
        <f t="shared" ref="K99:K162" si="23">K98+16.9</f>
        <v>1758.0000000000034</v>
      </c>
      <c r="M99" s="4">
        <v>96</v>
      </c>
      <c r="N99" s="5">
        <f t="shared" si="18"/>
        <v>336.1</v>
      </c>
    </row>
    <row r="100" spans="1:14" ht="16.5">
      <c r="A100" s="86">
        <f t="shared" si="19"/>
        <v>97</v>
      </c>
      <c r="B100" s="80">
        <f t="shared" si="20"/>
        <v>1102.5000000000002</v>
      </c>
      <c r="C100" s="249"/>
      <c r="D100" s="86">
        <f t="shared" si="15"/>
        <v>97</v>
      </c>
      <c r="E100" s="80">
        <f t="shared" si="21"/>
        <v>1102.5000000000002</v>
      </c>
      <c r="G100" s="86">
        <f t="shared" si="16"/>
        <v>97</v>
      </c>
      <c r="H100" s="80">
        <f t="shared" si="22"/>
        <v>1617.8000000000029</v>
      </c>
      <c r="I100" s="28"/>
      <c r="J100" s="86">
        <f t="shared" si="17"/>
        <v>97</v>
      </c>
      <c r="K100" s="80">
        <f t="shared" si="23"/>
        <v>1774.9000000000035</v>
      </c>
      <c r="M100" s="4">
        <v>97</v>
      </c>
      <c r="N100" s="5">
        <f t="shared" si="18"/>
        <v>339.1</v>
      </c>
    </row>
    <row r="101" spans="1:14" ht="16.5">
      <c r="A101" s="86">
        <f t="shared" si="19"/>
        <v>98</v>
      </c>
      <c r="B101" s="80">
        <f t="shared" si="20"/>
        <v>1113.0000000000002</v>
      </c>
      <c r="C101" s="249"/>
      <c r="D101" s="86">
        <f t="shared" si="15"/>
        <v>98</v>
      </c>
      <c r="E101" s="80">
        <f t="shared" si="21"/>
        <v>1113.0000000000002</v>
      </c>
      <c r="G101" s="86">
        <f t="shared" si="16"/>
        <v>98</v>
      </c>
      <c r="H101" s="80">
        <f t="shared" si="22"/>
        <v>1633.200000000003</v>
      </c>
      <c r="I101" s="28"/>
      <c r="J101" s="86">
        <f t="shared" si="17"/>
        <v>98</v>
      </c>
      <c r="K101" s="80">
        <f t="shared" si="23"/>
        <v>1791.8000000000036</v>
      </c>
      <c r="M101" s="4">
        <v>98</v>
      </c>
      <c r="N101" s="5">
        <f t="shared" si="18"/>
        <v>342.1</v>
      </c>
    </row>
    <row r="102" spans="1:14" ht="16.5">
      <c r="A102" s="86">
        <f t="shared" si="19"/>
        <v>99</v>
      </c>
      <c r="B102" s="80">
        <f t="shared" si="20"/>
        <v>1123.5000000000002</v>
      </c>
      <c r="C102" s="249"/>
      <c r="D102" s="86">
        <f t="shared" si="15"/>
        <v>99</v>
      </c>
      <c r="E102" s="80">
        <f t="shared" si="21"/>
        <v>1123.5000000000002</v>
      </c>
      <c r="G102" s="86">
        <f t="shared" si="16"/>
        <v>99</v>
      </c>
      <c r="H102" s="80">
        <f t="shared" si="22"/>
        <v>1648.6000000000031</v>
      </c>
      <c r="I102" s="28"/>
      <c r="J102" s="86">
        <f t="shared" si="17"/>
        <v>99</v>
      </c>
      <c r="K102" s="80">
        <f t="shared" si="23"/>
        <v>1808.7000000000037</v>
      </c>
      <c r="M102" s="4">
        <v>99</v>
      </c>
      <c r="N102" s="5">
        <f t="shared" si="18"/>
        <v>345.1</v>
      </c>
    </row>
    <row r="103" spans="1:14" ht="16.5">
      <c r="A103" s="86">
        <f t="shared" si="19"/>
        <v>100</v>
      </c>
      <c r="B103" s="80">
        <f t="shared" si="20"/>
        <v>1134.0000000000002</v>
      </c>
      <c r="C103" s="249"/>
      <c r="D103" s="86">
        <f t="shared" si="15"/>
        <v>100</v>
      </c>
      <c r="E103" s="80">
        <f t="shared" si="21"/>
        <v>1134.0000000000002</v>
      </c>
      <c r="G103" s="86">
        <f t="shared" si="16"/>
        <v>100</v>
      </c>
      <c r="H103" s="80">
        <f t="shared" si="22"/>
        <v>1664.0000000000032</v>
      </c>
      <c r="I103" s="28"/>
      <c r="J103" s="86">
        <f t="shared" si="17"/>
        <v>100</v>
      </c>
      <c r="K103" s="80">
        <f t="shared" si="23"/>
        <v>1825.6000000000038</v>
      </c>
      <c r="M103" s="4">
        <v>100</v>
      </c>
      <c r="N103" s="5">
        <f t="shared" si="18"/>
        <v>348.1</v>
      </c>
    </row>
    <row r="104" spans="1:14" ht="16.5">
      <c r="A104" s="86">
        <f t="shared" si="19"/>
        <v>101</v>
      </c>
      <c r="B104" s="80">
        <f t="shared" si="20"/>
        <v>1144.5000000000002</v>
      </c>
      <c r="C104" s="249"/>
      <c r="D104" s="86">
        <f t="shared" si="15"/>
        <v>101</v>
      </c>
      <c r="E104" s="80">
        <f t="shared" si="21"/>
        <v>1144.5000000000002</v>
      </c>
      <c r="G104" s="86">
        <f t="shared" si="16"/>
        <v>101</v>
      </c>
      <c r="H104" s="80">
        <f t="shared" si="22"/>
        <v>1679.4000000000033</v>
      </c>
      <c r="I104" s="28"/>
      <c r="J104" s="86">
        <f t="shared" si="17"/>
        <v>101</v>
      </c>
      <c r="K104" s="80">
        <f t="shared" si="23"/>
        <v>1842.5000000000039</v>
      </c>
      <c r="M104" s="4">
        <v>101</v>
      </c>
      <c r="N104" s="5">
        <f t="shared" si="18"/>
        <v>351.1</v>
      </c>
    </row>
    <row r="105" spans="1:14" ht="16.5">
      <c r="A105" s="86">
        <f t="shared" si="19"/>
        <v>102</v>
      </c>
      <c r="B105" s="80">
        <f t="shared" si="20"/>
        <v>1155.0000000000002</v>
      </c>
      <c r="C105" s="249"/>
      <c r="D105" s="86">
        <f t="shared" si="15"/>
        <v>102</v>
      </c>
      <c r="E105" s="80">
        <f t="shared" si="21"/>
        <v>1155.0000000000002</v>
      </c>
      <c r="G105" s="86">
        <f t="shared" si="16"/>
        <v>102</v>
      </c>
      <c r="H105" s="80">
        <f t="shared" si="22"/>
        <v>1694.8000000000034</v>
      </c>
      <c r="I105" s="28"/>
      <c r="J105" s="86">
        <f t="shared" si="17"/>
        <v>102</v>
      </c>
      <c r="K105" s="80">
        <f t="shared" si="23"/>
        <v>1859.400000000004</v>
      </c>
      <c r="M105" s="4">
        <v>102</v>
      </c>
      <c r="N105" s="5">
        <f t="shared" ref="N105:N136" si="24">N104+3</f>
        <v>354.1</v>
      </c>
    </row>
    <row r="106" spans="1:14" ht="16.5">
      <c r="A106" s="86">
        <f t="shared" si="19"/>
        <v>103</v>
      </c>
      <c r="B106" s="80">
        <f t="shared" si="20"/>
        <v>1165.5000000000002</v>
      </c>
      <c r="C106" s="249"/>
      <c r="D106" s="86">
        <f t="shared" si="15"/>
        <v>103</v>
      </c>
      <c r="E106" s="80">
        <f t="shared" si="21"/>
        <v>1165.5000000000002</v>
      </c>
      <c r="G106" s="86">
        <f t="shared" si="16"/>
        <v>103</v>
      </c>
      <c r="H106" s="80">
        <f t="shared" si="22"/>
        <v>1710.2000000000035</v>
      </c>
      <c r="I106" s="28"/>
      <c r="J106" s="86">
        <f t="shared" si="17"/>
        <v>103</v>
      </c>
      <c r="K106" s="80">
        <f t="shared" si="23"/>
        <v>1876.300000000004</v>
      </c>
      <c r="M106" s="4">
        <v>103</v>
      </c>
      <c r="N106" s="5">
        <f t="shared" si="24"/>
        <v>357.1</v>
      </c>
    </row>
    <row r="107" spans="1:14" ht="16.5">
      <c r="A107" s="86">
        <f t="shared" si="19"/>
        <v>104</v>
      </c>
      <c r="B107" s="80">
        <f t="shared" si="20"/>
        <v>1176.0000000000002</v>
      </c>
      <c r="C107" s="249"/>
      <c r="D107" s="86">
        <f t="shared" si="15"/>
        <v>104</v>
      </c>
      <c r="E107" s="80">
        <f t="shared" si="21"/>
        <v>1176.0000000000002</v>
      </c>
      <c r="G107" s="86">
        <f t="shared" si="16"/>
        <v>104</v>
      </c>
      <c r="H107" s="80">
        <f t="shared" si="22"/>
        <v>1725.6000000000035</v>
      </c>
      <c r="I107" s="28"/>
      <c r="J107" s="86">
        <f t="shared" si="17"/>
        <v>104</v>
      </c>
      <c r="K107" s="80">
        <f t="shared" si="23"/>
        <v>1893.2000000000041</v>
      </c>
      <c r="M107" s="4">
        <v>104</v>
      </c>
      <c r="N107" s="5">
        <f t="shared" si="24"/>
        <v>360.1</v>
      </c>
    </row>
    <row r="108" spans="1:14" ht="16.5">
      <c r="A108" s="86">
        <f t="shared" si="19"/>
        <v>105</v>
      </c>
      <c r="B108" s="80">
        <f t="shared" si="20"/>
        <v>1186.5000000000002</v>
      </c>
      <c r="C108" s="249"/>
      <c r="D108" s="86">
        <f t="shared" si="15"/>
        <v>105</v>
      </c>
      <c r="E108" s="80">
        <f t="shared" si="21"/>
        <v>1186.5000000000002</v>
      </c>
      <c r="G108" s="86">
        <f t="shared" si="16"/>
        <v>105</v>
      </c>
      <c r="H108" s="80">
        <f t="shared" si="22"/>
        <v>1741.0000000000036</v>
      </c>
      <c r="I108" s="28"/>
      <c r="J108" s="86">
        <f t="shared" si="17"/>
        <v>105</v>
      </c>
      <c r="K108" s="80">
        <f t="shared" si="23"/>
        <v>1910.1000000000042</v>
      </c>
      <c r="M108" s="4">
        <v>105</v>
      </c>
      <c r="N108" s="5">
        <f t="shared" si="24"/>
        <v>363.1</v>
      </c>
    </row>
    <row r="109" spans="1:14" ht="16.5">
      <c r="A109" s="86">
        <f t="shared" si="19"/>
        <v>106</v>
      </c>
      <c r="B109" s="80">
        <f t="shared" si="20"/>
        <v>1197.0000000000002</v>
      </c>
      <c r="C109" s="249"/>
      <c r="D109" s="86">
        <f t="shared" si="15"/>
        <v>106</v>
      </c>
      <c r="E109" s="80">
        <f t="shared" si="21"/>
        <v>1197.0000000000002</v>
      </c>
      <c r="G109" s="86">
        <f t="shared" si="16"/>
        <v>106</v>
      </c>
      <c r="H109" s="80">
        <f t="shared" si="22"/>
        <v>1756.4000000000037</v>
      </c>
      <c r="I109" s="28"/>
      <c r="J109" s="86">
        <f t="shared" si="17"/>
        <v>106</v>
      </c>
      <c r="K109" s="80">
        <f t="shared" si="23"/>
        <v>1927.0000000000043</v>
      </c>
      <c r="M109" s="4">
        <v>106</v>
      </c>
      <c r="N109" s="5">
        <f t="shared" si="24"/>
        <v>366.1</v>
      </c>
    </row>
    <row r="110" spans="1:14" ht="16.5">
      <c r="A110" s="86">
        <f t="shared" si="19"/>
        <v>107</v>
      </c>
      <c r="B110" s="80">
        <f t="shared" si="20"/>
        <v>1207.5000000000002</v>
      </c>
      <c r="C110" s="249"/>
      <c r="D110" s="86">
        <f t="shared" si="15"/>
        <v>107</v>
      </c>
      <c r="E110" s="80">
        <f t="shared" si="21"/>
        <v>1207.5000000000002</v>
      </c>
      <c r="G110" s="86">
        <f t="shared" si="16"/>
        <v>107</v>
      </c>
      <c r="H110" s="80">
        <f t="shared" si="22"/>
        <v>1771.8000000000038</v>
      </c>
      <c r="I110" s="28"/>
      <c r="J110" s="86">
        <f t="shared" si="17"/>
        <v>107</v>
      </c>
      <c r="K110" s="80">
        <f t="shared" si="23"/>
        <v>1943.9000000000044</v>
      </c>
      <c r="M110" s="4">
        <v>107</v>
      </c>
      <c r="N110" s="5">
        <f t="shared" si="24"/>
        <v>369.1</v>
      </c>
    </row>
    <row r="111" spans="1:14" ht="16.5">
      <c r="A111" s="86">
        <f t="shared" si="19"/>
        <v>108</v>
      </c>
      <c r="B111" s="80">
        <f t="shared" si="20"/>
        <v>1218.0000000000002</v>
      </c>
      <c r="C111" s="249"/>
      <c r="D111" s="86">
        <f t="shared" si="15"/>
        <v>108</v>
      </c>
      <c r="E111" s="80">
        <f t="shared" si="21"/>
        <v>1218.0000000000002</v>
      </c>
      <c r="G111" s="86">
        <f t="shared" si="16"/>
        <v>108</v>
      </c>
      <c r="H111" s="80">
        <f t="shared" si="22"/>
        <v>1787.2000000000039</v>
      </c>
      <c r="I111" s="28"/>
      <c r="J111" s="86">
        <f t="shared" si="17"/>
        <v>108</v>
      </c>
      <c r="K111" s="80">
        <f t="shared" si="23"/>
        <v>1960.8000000000045</v>
      </c>
      <c r="M111" s="4">
        <v>108</v>
      </c>
      <c r="N111" s="5">
        <f t="shared" si="24"/>
        <v>372.1</v>
      </c>
    </row>
    <row r="112" spans="1:14" ht="16.5">
      <c r="A112" s="86">
        <f t="shared" si="19"/>
        <v>109</v>
      </c>
      <c r="B112" s="80">
        <f t="shared" si="20"/>
        <v>1228.5000000000002</v>
      </c>
      <c r="C112" s="249"/>
      <c r="D112" s="86">
        <f t="shared" si="15"/>
        <v>109</v>
      </c>
      <c r="E112" s="80">
        <f t="shared" si="21"/>
        <v>1228.5000000000002</v>
      </c>
      <c r="G112" s="86">
        <f t="shared" si="16"/>
        <v>109</v>
      </c>
      <c r="H112" s="80">
        <f t="shared" si="22"/>
        <v>1802.600000000004</v>
      </c>
      <c r="I112" s="28"/>
      <c r="J112" s="86">
        <f t="shared" si="17"/>
        <v>109</v>
      </c>
      <c r="K112" s="80">
        <f t="shared" si="23"/>
        <v>1977.7000000000046</v>
      </c>
      <c r="M112" s="4">
        <v>109</v>
      </c>
      <c r="N112" s="5">
        <f t="shared" si="24"/>
        <v>375.1</v>
      </c>
    </row>
    <row r="113" spans="1:14" ht="16.5">
      <c r="A113" s="86">
        <f t="shared" si="19"/>
        <v>110</v>
      </c>
      <c r="B113" s="80">
        <f t="shared" si="20"/>
        <v>1239.0000000000002</v>
      </c>
      <c r="C113" s="249"/>
      <c r="D113" s="86">
        <f t="shared" si="15"/>
        <v>110</v>
      </c>
      <c r="E113" s="80">
        <f t="shared" si="21"/>
        <v>1239.0000000000002</v>
      </c>
      <c r="G113" s="86">
        <f t="shared" si="16"/>
        <v>110</v>
      </c>
      <c r="H113" s="80">
        <f t="shared" si="22"/>
        <v>1818.0000000000041</v>
      </c>
      <c r="I113" s="28"/>
      <c r="J113" s="86">
        <f t="shared" si="17"/>
        <v>110</v>
      </c>
      <c r="K113" s="80">
        <f t="shared" si="23"/>
        <v>1994.6000000000047</v>
      </c>
      <c r="M113" s="4">
        <v>110</v>
      </c>
      <c r="N113" s="5">
        <f t="shared" si="24"/>
        <v>378.1</v>
      </c>
    </row>
    <row r="114" spans="1:14" ht="16.5">
      <c r="A114" s="86">
        <f t="shared" si="19"/>
        <v>111</v>
      </c>
      <c r="B114" s="80">
        <f t="shared" si="20"/>
        <v>1249.5000000000002</v>
      </c>
      <c r="C114" s="249"/>
      <c r="D114" s="86">
        <f t="shared" si="15"/>
        <v>111</v>
      </c>
      <c r="E114" s="80">
        <f t="shared" si="21"/>
        <v>1249.5000000000002</v>
      </c>
      <c r="G114" s="86">
        <f t="shared" si="16"/>
        <v>111</v>
      </c>
      <c r="H114" s="80">
        <f t="shared" si="22"/>
        <v>1833.4000000000042</v>
      </c>
      <c r="I114" s="28"/>
      <c r="J114" s="86">
        <f t="shared" si="17"/>
        <v>111</v>
      </c>
      <c r="K114" s="80">
        <f t="shared" si="23"/>
        <v>2011.5000000000048</v>
      </c>
      <c r="M114" s="4">
        <v>111</v>
      </c>
      <c r="N114" s="5">
        <f t="shared" si="24"/>
        <v>381.1</v>
      </c>
    </row>
    <row r="115" spans="1:14" ht="16.5">
      <c r="A115" s="86">
        <f t="shared" si="19"/>
        <v>112</v>
      </c>
      <c r="B115" s="80">
        <f t="shared" si="20"/>
        <v>1260.0000000000002</v>
      </c>
      <c r="C115" s="249"/>
      <c r="D115" s="86">
        <f t="shared" si="15"/>
        <v>112</v>
      </c>
      <c r="E115" s="80">
        <f t="shared" si="21"/>
        <v>1260.0000000000002</v>
      </c>
      <c r="G115" s="86">
        <f t="shared" si="16"/>
        <v>112</v>
      </c>
      <c r="H115" s="80">
        <f t="shared" si="22"/>
        <v>1848.8000000000043</v>
      </c>
      <c r="I115" s="28"/>
      <c r="J115" s="86">
        <f t="shared" si="17"/>
        <v>112</v>
      </c>
      <c r="K115" s="80">
        <f t="shared" si="23"/>
        <v>2028.4000000000049</v>
      </c>
      <c r="M115" s="4">
        <v>112</v>
      </c>
      <c r="N115" s="5">
        <f t="shared" si="24"/>
        <v>384.1</v>
      </c>
    </row>
    <row r="116" spans="1:14" ht="16.5">
      <c r="A116" s="86">
        <f t="shared" si="19"/>
        <v>113</v>
      </c>
      <c r="B116" s="80">
        <f t="shared" si="20"/>
        <v>1270.5000000000002</v>
      </c>
      <c r="C116" s="249"/>
      <c r="D116" s="86">
        <f t="shared" si="15"/>
        <v>113</v>
      </c>
      <c r="E116" s="80">
        <f t="shared" si="21"/>
        <v>1270.5000000000002</v>
      </c>
      <c r="G116" s="86">
        <f t="shared" si="16"/>
        <v>113</v>
      </c>
      <c r="H116" s="80">
        <f t="shared" si="22"/>
        <v>1864.2000000000044</v>
      </c>
      <c r="I116" s="28"/>
      <c r="J116" s="86">
        <f t="shared" si="17"/>
        <v>113</v>
      </c>
      <c r="K116" s="80">
        <f t="shared" si="23"/>
        <v>2045.300000000005</v>
      </c>
      <c r="M116" s="4">
        <v>113</v>
      </c>
      <c r="N116" s="5">
        <f t="shared" si="24"/>
        <v>387.1</v>
      </c>
    </row>
    <row r="117" spans="1:14" ht="16.5">
      <c r="A117" s="86">
        <f t="shared" si="19"/>
        <v>114</v>
      </c>
      <c r="B117" s="80">
        <f t="shared" si="20"/>
        <v>1281.0000000000002</v>
      </c>
      <c r="C117" s="249"/>
      <c r="D117" s="86">
        <f t="shared" si="15"/>
        <v>114</v>
      </c>
      <c r="E117" s="80">
        <f t="shared" si="21"/>
        <v>1281.0000000000002</v>
      </c>
      <c r="G117" s="86">
        <f t="shared" si="16"/>
        <v>114</v>
      </c>
      <c r="H117" s="80">
        <f t="shared" si="22"/>
        <v>1879.6000000000045</v>
      </c>
      <c r="I117" s="28"/>
      <c r="J117" s="86">
        <f t="shared" si="17"/>
        <v>114</v>
      </c>
      <c r="K117" s="80">
        <f t="shared" si="23"/>
        <v>2062.2000000000048</v>
      </c>
      <c r="M117" s="4">
        <v>114</v>
      </c>
      <c r="N117" s="5">
        <f t="shared" si="24"/>
        <v>390.1</v>
      </c>
    </row>
    <row r="118" spans="1:14" ht="16.5">
      <c r="A118" s="86">
        <f t="shared" si="19"/>
        <v>115</v>
      </c>
      <c r="B118" s="80">
        <f t="shared" si="20"/>
        <v>1291.5000000000002</v>
      </c>
      <c r="C118" s="249"/>
      <c r="D118" s="86">
        <f t="shared" si="15"/>
        <v>115</v>
      </c>
      <c r="E118" s="80">
        <f t="shared" si="21"/>
        <v>1291.5000000000002</v>
      </c>
      <c r="G118" s="86">
        <f t="shared" si="16"/>
        <v>115</v>
      </c>
      <c r="H118" s="80">
        <f t="shared" si="22"/>
        <v>1895.0000000000045</v>
      </c>
      <c r="I118" s="28"/>
      <c r="J118" s="86">
        <f t="shared" si="17"/>
        <v>115</v>
      </c>
      <c r="K118" s="80">
        <f t="shared" si="23"/>
        <v>2079.1000000000049</v>
      </c>
      <c r="M118" s="4">
        <v>115</v>
      </c>
      <c r="N118" s="5">
        <f t="shared" si="24"/>
        <v>393.1</v>
      </c>
    </row>
    <row r="119" spans="1:14" ht="16.5">
      <c r="A119" s="86">
        <f t="shared" si="19"/>
        <v>116</v>
      </c>
      <c r="B119" s="80">
        <f t="shared" si="20"/>
        <v>1302.0000000000002</v>
      </c>
      <c r="C119" s="249"/>
      <c r="D119" s="86">
        <f t="shared" si="15"/>
        <v>116</v>
      </c>
      <c r="E119" s="80">
        <f t="shared" si="21"/>
        <v>1302.0000000000002</v>
      </c>
      <c r="G119" s="86">
        <f t="shared" si="16"/>
        <v>116</v>
      </c>
      <c r="H119" s="80">
        <f t="shared" si="22"/>
        <v>1910.4000000000046</v>
      </c>
      <c r="I119" s="28"/>
      <c r="J119" s="86">
        <f t="shared" si="17"/>
        <v>116</v>
      </c>
      <c r="K119" s="80">
        <f t="shared" si="23"/>
        <v>2096.000000000005</v>
      </c>
      <c r="M119" s="4">
        <v>116</v>
      </c>
      <c r="N119" s="5">
        <f t="shared" si="24"/>
        <v>396.1</v>
      </c>
    </row>
    <row r="120" spans="1:14" ht="16.5">
      <c r="A120" s="86">
        <f t="shared" si="19"/>
        <v>117</v>
      </c>
      <c r="B120" s="80">
        <f t="shared" si="20"/>
        <v>1312.5000000000002</v>
      </c>
      <c r="C120" s="249"/>
      <c r="D120" s="86">
        <f t="shared" si="15"/>
        <v>117</v>
      </c>
      <c r="E120" s="80">
        <f t="shared" si="21"/>
        <v>1312.5000000000002</v>
      </c>
      <c r="G120" s="86">
        <f t="shared" si="16"/>
        <v>117</v>
      </c>
      <c r="H120" s="80">
        <f t="shared" si="22"/>
        <v>1925.8000000000047</v>
      </c>
      <c r="I120" s="28"/>
      <c r="J120" s="86">
        <f t="shared" si="17"/>
        <v>117</v>
      </c>
      <c r="K120" s="80">
        <f t="shared" si="23"/>
        <v>2112.9000000000051</v>
      </c>
      <c r="M120" s="4">
        <v>117</v>
      </c>
      <c r="N120" s="5">
        <f t="shared" si="24"/>
        <v>399.1</v>
      </c>
    </row>
    <row r="121" spans="1:14" ht="16.5">
      <c r="A121" s="86">
        <f t="shared" si="19"/>
        <v>118</v>
      </c>
      <c r="B121" s="80">
        <f t="shared" si="20"/>
        <v>1323.0000000000002</v>
      </c>
      <c r="C121" s="249"/>
      <c r="D121" s="86">
        <f t="shared" si="15"/>
        <v>118</v>
      </c>
      <c r="E121" s="80">
        <f t="shared" si="21"/>
        <v>1323.0000000000002</v>
      </c>
      <c r="G121" s="86">
        <f t="shared" si="16"/>
        <v>118</v>
      </c>
      <c r="H121" s="80">
        <f t="shared" si="22"/>
        <v>1941.2000000000048</v>
      </c>
      <c r="I121" s="28"/>
      <c r="J121" s="86">
        <f t="shared" si="17"/>
        <v>118</v>
      </c>
      <c r="K121" s="80">
        <f t="shared" si="23"/>
        <v>2129.8000000000052</v>
      </c>
      <c r="M121" s="4">
        <v>118</v>
      </c>
      <c r="N121" s="5">
        <f t="shared" si="24"/>
        <v>402.1</v>
      </c>
    </row>
    <row r="122" spans="1:14" ht="16.5">
      <c r="A122" s="86">
        <f t="shared" si="19"/>
        <v>119</v>
      </c>
      <c r="B122" s="80">
        <f t="shared" si="20"/>
        <v>1333.5000000000002</v>
      </c>
      <c r="C122" s="249"/>
      <c r="D122" s="86">
        <f t="shared" si="15"/>
        <v>119</v>
      </c>
      <c r="E122" s="80">
        <f t="shared" si="21"/>
        <v>1333.5000000000002</v>
      </c>
      <c r="G122" s="86">
        <f t="shared" si="16"/>
        <v>119</v>
      </c>
      <c r="H122" s="80">
        <f t="shared" si="22"/>
        <v>1956.6000000000049</v>
      </c>
      <c r="I122" s="28"/>
      <c r="J122" s="86">
        <f t="shared" si="17"/>
        <v>119</v>
      </c>
      <c r="K122" s="80">
        <f t="shared" si="23"/>
        <v>2146.7000000000053</v>
      </c>
      <c r="M122" s="4">
        <v>119</v>
      </c>
      <c r="N122" s="5">
        <f t="shared" si="24"/>
        <v>405.1</v>
      </c>
    </row>
    <row r="123" spans="1:14" ht="16.5">
      <c r="A123" s="86">
        <f t="shared" si="19"/>
        <v>120</v>
      </c>
      <c r="B123" s="80">
        <f t="shared" si="20"/>
        <v>1344.0000000000002</v>
      </c>
      <c r="C123" s="249"/>
      <c r="D123" s="86">
        <f t="shared" si="15"/>
        <v>120</v>
      </c>
      <c r="E123" s="80">
        <f t="shared" si="21"/>
        <v>1344.0000000000002</v>
      </c>
      <c r="G123" s="86">
        <f t="shared" si="16"/>
        <v>120</v>
      </c>
      <c r="H123" s="80">
        <f t="shared" si="22"/>
        <v>1972.000000000005</v>
      </c>
      <c r="I123" s="28"/>
      <c r="J123" s="86">
        <f t="shared" si="17"/>
        <v>120</v>
      </c>
      <c r="K123" s="80">
        <f t="shared" si="23"/>
        <v>2163.6000000000054</v>
      </c>
      <c r="M123" s="4">
        <v>120</v>
      </c>
      <c r="N123" s="5">
        <f t="shared" si="24"/>
        <v>408.1</v>
      </c>
    </row>
    <row r="124" spans="1:14" ht="16.5">
      <c r="A124" s="86">
        <f t="shared" si="19"/>
        <v>121</v>
      </c>
      <c r="B124" s="80">
        <f t="shared" si="20"/>
        <v>1354.5000000000002</v>
      </c>
      <c r="C124" s="249"/>
      <c r="D124" s="86">
        <f t="shared" si="15"/>
        <v>121</v>
      </c>
      <c r="E124" s="80">
        <f t="shared" si="21"/>
        <v>1354.5000000000002</v>
      </c>
      <c r="G124" s="86">
        <f t="shared" si="16"/>
        <v>121</v>
      </c>
      <c r="H124" s="80">
        <f t="shared" si="22"/>
        <v>1987.4000000000051</v>
      </c>
      <c r="I124" s="28"/>
      <c r="J124" s="86">
        <f t="shared" si="17"/>
        <v>121</v>
      </c>
      <c r="K124" s="80">
        <f t="shared" si="23"/>
        <v>2180.5000000000055</v>
      </c>
      <c r="M124" s="4">
        <v>121</v>
      </c>
      <c r="N124" s="5">
        <f t="shared" si="24"/>
        <v>411.1</v>
      </c>
    </row>
    <row r="125" spans="1:14" ht="16.5">
      <c r="A125" s="86">
        <f t="shared" si="19"/>
        <v>122</v>
      </c>
      <c r="B125" s="80">
        <f t="shared" si="20"/>
        <v>1365.0000000000002</v>
      </c>
      <c r="C125" s="249"/>
      <c r="D125" s="86">
        <f t="shared" si="15"/>
        <v>122</v>
      </c>
      <c r="E125" s="80">
        <f t="shared" si="21"/>
        <v>1365.0000000000002</v>
      </c>
      <c r="G125" s="86">
        <f t="shared" si="16"/>
        <v>122</v>
      </c>
      <c r="H125" s="80">
        <f t="shared" si="22"/>
        <v>2002.8000000000052</v>
      </c>
      <c r="I125" s="28"/>
      <c r="J125" s="86">
        <f t="shared" si="17"/>
        <v>122</v>
      </c>
      <c r="K125" s="80">
        <f t="shared" si="23"/>
        <v>2197.4000000000055</v>
      </c>
      <c r="M125" s="4">
        <v>122</v>
      </c>
      <c r="N125" s="5">
        <f t="shared" si="24"/>
        <v>414.1</v>
      </c>
    </row>
    <row r="126" spans="1:14" ht="16.5">
      <c r="A126" s="86">
        <f t="shared" si="19"/>
        <v>123</v>
      </c>
      <c r="B126" s="80">
        <f t="shared" si="20"/>
        <v>1375.5000000000002</v>
      </c>
      <c r="C126" s="249"/>
      <c r="D126" s="86">
        <f t="shared" si="15"/>
        <v>123</v>
      </c>
      <c r="E126" s="80">
        <f t="shared" si="21"/>
        <v>1375.5000000000002</v>
      </c>
      <c r="G126" s="86">
        <f t="shared" si="16"/>
        <v>123</v>
      </c>
      <c r="H126" s="80">
        <f t="shared" si="22"/>
        <v>2018.2000000000053</v>
      </c>
      <c r="I126" s="28"/>
      <c r="J126" s="86">
        <f t="shared" si="17"/>
        <v>123</v>
      </c>
      <c r="K126" s="80">
        <f t="shared" si="23"/>
        <v>2214.3000000000056</v>
      </c>
      <c r="M126" s="4">
        <v>123</v>
      </c>
      <c r="N126" s="5">
        <f t="shared" si="24"/>
        <v>417.1</v>
      </c>
    </row>
    <row r="127" spans="1:14" ht="16.5">
      <c r="A127" s="86">
        <f t="shared" si="19"/>
        <v>124</v>
      </c>
      <c r="B127" s="80">
        <f t="shared" si="20"/>
        <v>1386.0000000000002</v>
      </c>
      <c r="C127" s="249"/>
      <c r="D127" s="86">
        <f t="shared" si="15"/>
        <v>124</v>
      </c>
      <c r="E127" s="80">
        <f t="shared" si="21"/>
        <v>1386.0000000000002</v>
      </c>
      <c r="G127" s="86">
        <f t="shared" si="16"/>
        <v>124</v>
      </c>
      <c r="H127" s="80">
        <f t="shared" si="22"/>
        <v>2033.6000000000054</v>
      </c>
      <c r="I127" s="28"/>
      <c r="J127" s="86">
        <f t="shared" si="17"/>
        <v>124</v>
      </c>
      <c r="K127" s="80">
        <f t="shared" si="23"/>
        <v>2231.2000000000057</v>
      </c>
      <c r="M127" s="4">
        <v>124</v>
      </c>
      <c r="N127" s="5">
        <f t="shared" si="24"/>
        <v>420.1</v>
      </c>
    </row>
    <row r="128" spans="1:14" ht="16.5">
      <c r="A128" s="86">
        <f t="shared" si="19"/>
        <v>125</v>
      </c>
      <c r="B128" s="80">
        <f t="shared" si="20"/>
        <v>1396.5000000000002</v>
      </c>
      <c r="C128" s="249"/>
      <c r="D128" s="86">
        <f t="shared" si="15"/>
        <v>125</v>
      </c>
      <c r="E128" s="80">
        <f t="shared" si="21"/>
        <v>1396.5000000000002</v>
      </c>
      <c r="G128" s="86">
        <f t="shared" si="16"/>
        <v>125</v>
      </c>
      <c r="H128" s="80">
        <f t="shared" si="22"/>
        <v>2049.0000000000055</v>
      </c>
      <c r="I128" s="28"/>
      <c r="J128" s="86">
        <f t="shared" si="17"/>
        <v>125</v>
      </c>
      <c r="K128" s="80">
        <f t="shared" si="23"/>
        <v>2248.1000000000058</v>
      </c>
      <c r="M128" s="4">
        <v>125</v>
      </c>
      <c r="N128" s="5">
        <f t="shared" si="24"/>
        <v>423.1</v>
      </c>
    </row>
    <row r="129" spans="1:14" ht="16.5">
      <c r="A129" s="86">
        <f t="shared" si="19"/>
        <v>126</v>
      </c>
      <c r="B129" s="80">
        <f t="shared" si="20"/>
        <v>1407.0000000000002</v>
      </c>
      <c r="C129" s="249"/>
      <c r="D129" s="86">
        <f t="shared" si="15"/>
        <v>126</v>
      </c>
      <c r="E129" s="80">
        <f t="shared" si="21"/>
        <v>1407.0000000000002</v>
      </c>
      <c r="G129" s="86">
        <f t="shared" si="16"/>
        <v>126</v>
      </c>
      <c r="H129" s="80">
        <f t="shared" si="22"/>
        <v>2064.4000000000055</v>
      </c>
      <c r="I129" s="28"/>
      <c r="J129" s="86">
        <f t="shared" si="17"/>
        <v>126</v>
      </c>
      <c r="K129" s="80">
        <f t="shared" si="23"/>
        <v>2265.0000000000059</v>
      </c>
      <c r="M129" s="4">
        <v>126</v>
      </c>
      <c r="N129" s="5">
        <f t="shared" si="24"/>
        <v>426.1</v>
      </c>
    </row>
    <row r="130" spans="1:14" ht="16.5">
      <c r="A130" s="86">
        <f t="shared" si="19"/>
        <v>127</v>
      </c>
      <c r="B130" s="80">
        <f t="shared" si="20"/>
        <v>1417.5000000000002</v>
      </c>
      <c r="C130" s="249"/>
      <c r="D130" s="86">
        <f t="shared" si="15"/>
        <v>127</v>
      </c>
      <c r="E130" s="80">
        <f t="shared" si="21"/>
        <v>1417.5000000000002</v>
      </c>
      <c r="G130" s="86">
        <f t="shared" si="16"/>
        <v>127</v>
      </c>
      <c r="H130" s="80">
        <f t="shared" si="22"/>
        <v>2079.8000000000056</v>
      </c>
      <c r="I130" s="28"/>
      <c r="J130" s="86">
        <f t="shared" si="17"/>
        <v>127</v>
      </c>
      <c r="K130" s="80">
        <f t="shared" si="23"/>
        <v>2281.900000000006</v>
      </c>
      <c r="M130" s="4">
        <v>127</v>
      </c>
      <c r="N130" s="5">
        <f t="shared" si="24"/>
        <v>429.1</v>
      </c>
    </row>
    <row r="131" spans="1:14" ht="16.5">
      <c r="A131" s="86">
        <f t="shared" si="19"/>
        <v>128</v>
      </c>
      <c r="B131" s="80">
        <f t="shared" si="20"/>
        <v>1428.0000000000002</v>
      </c>
      <c r="C131" s="249"/>
      <c r="D131" s="86">
        <f t="shared" si="15"/>
        <v>128</v>
      </c>
      <c r="E131" s="80">
        <f t="shared" si="21"/>
        <v>1428.0000000000002</v>
      </c>
      <c r="G131" s="86">
        <f t="shared" si="16"/>
        <v>128</v>
      </c>
      <c r="H131" s="80">
        <f t="shared" si="22"/>
        <v>2095.2000000000057</v>
      </c>
      <c r="I131" s="28"/>
      <c r="J131" s="86">
        <f t="shared" si="17"/>
        <v>128</v>
      </c>
      <c r="K131" s="80">
        <f t="shared" si="23"/>
        <v>2298.8000000000061</v>
      </c>
      <c r="M131" s="4">
        <v>128</v>
      </c>
      <c r="N131" s="5">
        <f t="shared" si="24"/>
        <v>432.1</v>
      </c>
    </row>
    <row r="132" spans="1:14" ht="16.5">
      <c r="A132" s="86">
        <f t="shared" si="19"/>
        <v>129</v>
      </c>
      <c r="B132" s="80">
        <f t="shared" si="20"/>
        <v>1438.5000000000002</v>
      </c>
      <c r="C132" s="249"/>
      <c r="D132" s="86">
        <f t="shared" si="15"/>
        <v>129</v>
      </c>
      <c r="E132" s="80">
        <f t="shared" si="21"/>
        <v>1438.5000000000002</v>
      </c>
      <c r="G132" s="86">
        <f t="shared" si="16"/>
        <v>129</v>
      </c>
      <c r="H132" s="80">
        <f t="shared" si="22"/>
        <v>2110.6000000000058</v>
      </c>
      <c r="I132" s="28"/>
      <c r="J132" s="86">
        <f t="shared" si="17"/>
        <v>129</v>
      </c>
      <c r="K132" s="80">
        <f t="shared" si="23"/>
        <v>2315.7000000000062</v>
      </c>
      <c r="M132" s="4">
        <v>129</v>
      </c>
      <c r="N132" s="5">
        <f t="shared" si="24"/>
        <v>435.1</v>
      </c>
    </row>
    <row r="133" spans="1:14" ht="16.5">
      <c r="A133" s="86">
        <f t="shared" si="19"/>
        <v>130</v>
      </c>
      <c r="B133" s="80">
        <f t="shared" si="20"/>
        <v>1449.0000000000002</v>
      </c>
      <c r="C133" s="249"/>
      <c r="D133" s="86">
        <f t="shared" ref="D133:D196" si="25">D132+1</f>
        <v>130</v>
      </c>
      <c r="E133" s="80">
        <f t="shared" si="21"/>
        <v>1449.0000000000002</v>
      </c>
      <c r="G133" s="86">
        <f t="shared" si="16"/>
        <v>130</v>
      </c>
      <c r="H133" s="80">
        <f t="shared" si="22"/>
        <v>2126.0000000000059</v>
      </c>
      <c r="I133" s="28"/>
      <c r="J133" s="86">
        <f t="shared" si="17"/>
        <v>130</v>
      </c>
      <c r="K133" s="80">
        <f t="shared" si="23"/>
        <v>2332.6000000000063</v>
      </c>
      <c r="M133" s="4">
        <v>130</v>
      </c>
      <c r="N133" s="5">
        <f t="shared" si="24"/>
        <v>438.1</v>
      </c>
    </row>
    <row r="134" spans="1:14" ht="16.5">
      <c r="A134" s="86">
        <f t="shared" si="19"/>
        <v>131</v>
      </c>
      <c r="B134" s="80">
        <f t="shared" si="20"/>
        <v>1459.5000000000002</v>
      </c>
      <c r="C134" s="249"/>
      <c r="D134" s="86">
        <f t="shared" si="25"/>
        <v>131</v>
      </c>
      <c r="E134" s="80">
        <f t="shared" si="21"/>
        <v>1459.5000000000002</v>
      </c>
      <c r="G134" s="86">
        <f t="shared" ref="G134:G197" si="26">G133+1</f>
        <v>131</v>
      </c>
      <c r="H134" s="80">
        <f t="shared" si="22"/>
        <v>2141.400000000006</v>
      </c>
      <c r="I134" s="28"/>
      <c r="J134" s="86">
        <f t="shared" ref="J134:J197" si="27">J133+1</f>
        <v>131</v>
      </c>
      <c r="K134" s="80">
        <f t="shared" si="23"/>
        <v>2349.5000000000064</v>
      </c>
      <c r="M134" s="4">
        <v>131</v>
      </c>
      <c r="N134" s="5">
        <f t="shared" si="24"/>
        <v>441.1</v>
      </c>
    </row>
    <row r="135" spans="1:14" ht="16.5">
      <c r="A135" s="86">
        <f t="shared" si="19"/>
        <v>132</v>
      </c>
      <c r="B135" s="80">
        <f t="shared" si="20"/>
        <v>1470.0000000000002</v>
      </c>
      <c r="C135" s="249"/>
      <c r="D135" s="86">
        <f t="shared" si="25"/>
        <v>132</v>
      </c>
      <c r="E135" s="80">
        <f t="shared" si="21"/>
        <v>1470.0000000000002</v>
      </c>
      <c r="G135" s="86">
        <f t="shared" si="26"/>
        <v>132</v>
      </c>
      <c r="H135" s="80">
        <f t="shared" si="22"/>
        <v>2156.8000000000061</v>
      </c>
      <c r="I135" s="28"/>
      <c r="J135" s="86">
        <f t="shared" si="27"/>
        <v>132</v>
      </c>
      <c r="K135" s="80">
        <f t="shared" si="23"/>
        <v>2366.4000000000065</v>
      </c>
      <c r="M135" s="4">
        <v>132</v>
      </c>
      <c r="N135" s="5">
        <f t="shared" si="24"/>
        <v>444.1</v>
      </c>
    </row>
    <row r="136" spans="1:14" ht="16.5">
      <c r="A136" s="86">
        <f t="shared" si="19"/>
        <v>133</v>
      </c>
      <c r="B136" s="80">
        <f t="shared" si="20"/>
        <v>1480.5000000000002</v>
      </c>
      <c r="C136" s="249"/>
      <c r="D136" s="86">
        <f t="shared" si="25"/>
        <v>133</v>
      </c>
      <c r="E136" s="80">
        <f t="shared" si="21"/>
        <v>1480.5000000000002</v>
      </c>
      <c r="G136" s="86">
        <f t="shared" si="26"/>
        <v>133</v>
      </c>
      <c r="H136" s="80">
        <f t="shared" si="22"/>
        <v>2172.2000000000062</v>
      </c>
      <c r="I136" s="28"/>
      <c r="J136" s="86">
        <f t="shared" si="27"/>
        <v>133</v>
      </c>
      <c r="K136" s="80">
        <f t="shared" si="23"/>
        <v>2383.3000000000065</v>
      </c>
      <c r="M136" s="4">
        <v>133</v>
      </c>
      <c r="N136" s="5">
        <f t="shared" si="24"/>
        <v>447.1</v>
      </c>
    </row>
    <row r="137" spans="1:14" ht="16.5">
      <c r="A137" s="86">
        <f t="shared" si="19"/>
        <v>134</v>
      </c>
      <c r="B137" s="80">
        <f t="shared" si="20"/>
        <v>1491.0000000000002</v>
      </c>
      <c r="C137" s="249"/>
      <c r="D137" s="86">
        <f t="shared" si="25"/>
        <v>134</v>
      </c>
      <c r="E137" s="80">
        <f t="shared" si="21"/>
        <v>1491.0000000000002</v>
      </c>
      <c r="G137" s="86">
        <f t="shared" si="26"/>
        <v>134</v>
      </c>
      <c r="H137" s="80">
        <f t="shared" si="22"/>
        <v>2187.6000000000063</v>
      </c>
      <c r="I137" s="28"/>
      <c r="J137" s="86">
        <f t="shared" si="27"/>
        <v>134</v>
      </c>
      <c r="K137" s="80">
        <f t="shared" si="23"/>
        <v>2400.2000000000066</v>
      </c>
      <c r="M137" s="4">
        <v>134</v>
      </c>
      <c r="N137" s="5">
        <f t="shared" ref="N137:N168" si="28">N136+3</f>
        <v>450.1</v>
      </c>
    </row>
    <row r="138" spans="1:14" ht="16.5">
      <c r="A138" s="86">
        <f t="shared" si="19"/>
        <v>135</v>
      </c>
      <c r="B138" s="80">
        <f t="shared" si="20"/>
        <v>1501.5000000000002</v>
      </c>
      <c r="C138" s="249"/>
      <c r="D138" s="86">
        <f t="shared" si="25"/>
        <v>135</v>
      </c>
      <c r="E138" s="80">
        <f t="shared" si="21"/>
        <v>1501.5000000000002</v>
      </c>
      <c r="G138" s="86">
        <f t="shared" si="26"/>
        <v>135</v>
      </c>
      <c r="H138" s="80">
        <f t="shared" si="22"/>
        <v>2203.0000000000064</v>
      </c>
      <c r="I138" s="28"/>
      <c r="J138" s="86">
        <f t="shared" si="27"/>
        <v>135</v>
      </c>
      <c r="K138" s="80">
        <f t="shared" si="23"/>
        <v>2417.1000000000067</v>
      </c>
      <c r="M138" s="4">
        <v>135</v>
      </c>
      <c r="N138" s="5">
        <f t="shared" si="28"/>
        <v>453.1</v>
      </c>
    </row>
    <row r="139" spans="1:14" ht="16.5">
      <c r="A139" s="86">
        <f t="shared" si="19"/>
        <v>136</v>
      </c>
      <c r="B139" s="80">
        <f t="shared" si="20"/>
        <v>1512.0000000000002</v>
      </c>
      <c r="C139" s="249"/>
      <c r="D139" s="86">
        <f t="shared" si="25"/>
        <v>136</v>
      </c>
      <c r="E139" s="80">
        <f t="shared" si="21"/>
        <v>1512.0000000000002</v>
      </c>
      <c r="G139" s="86">
        <f t="shared" si="26"/>
        <v>136</v>
      </c>
      <c r="H139" s="80">
        <f t="shared" si="22"/>
        <v>2218.4000000000065</v>
      </c>
      <c r="I139" s="28"/>
      <c r="J139" s="86">
        <f t="shared" si="27"/>
        <v>136</v>
      </c>
      <c r="K139" s="80">
        <f t="shared" si="23"/>
        <v>2434.0000000000068</v>
      </c>
      <c r="M139" s="4">
        <v>136</v>
      </c>
      <c r="N139" s="5">
        <f t="shared" si="28"/>
        <v>456.1</v>
      </c>
    </row>
    <row r="140" spans="1:14" ht="16.5">
      <c r="A140" s="86">
        <f t="shared" si="19"/>
        <v>137</v>
      </c>
      <c r="B140" s="80">
        <f t="shared" si="20"/>
        <v>1522.5000000000002</v>
      </c>
      <c r="C140" s="249"/>
      <c r="D140" s="86">
        <f t="shared" si="25"/>
        <v>137</v>
      </c>
      <c r="E140" s="80">
        <f t="shared" si="21"/>
        <v>1522.5000000000002</v>
      </c>
      <c r="G140" s="86">
        <f t="shared" si="26"/>
        <v>137</v>
      </c>
      <c r="H140" s="80">
        <f t="shared" si="22"/>
        <v>2233.8000000000065</v>
      </c>
      <c r="I140" s="28"/>
      <c r="J140" s="86">
        <f t="shared" si="27"/>
        <v>137</v>
      </c>
      <c r="K140" s="80">
        <f t="shared" si="23"/>
        <v>2450.9000000000069</v>
      </c>
      <c r="M140" s="4">
        <v>137</v>
      </c>
      <c r="N140" s="5">
        <f t="shared" si="28"/>
        <v>459.1</v>
      </c>
    </row>
    <row r="141" spans="1:14" ht="16.5">
      <c r="A141" s="86">
        <f t="shared" si="19"/>
        <v>138</v>
      </c>
      <c r="B141" s="80">
        <f t="shared" si="20"/>
        <v>1533.0000000000002</v>
      </c>
      <c r="C141" s="249"/>
      <c r="D141" s="86">
        <f t="shared" si="25"/>
        <v>138</v>
      </c>
      <c r="E141" s="80">
        <f t="shared" si="21"/>
        <v>1533.0000000000002</v>
      </c>
      <c r="G141" s="86">
        <f t="shared" si="26"/>
        <v>138</v>
      </c>
      <c r="H141" s="80">
        <f t="shared" si="22"/>
        <v>2249.2000000000066</v>
      </c>
      <c r="I141" s="28"/>
      <c r="J141" s="86">
        <f t="shared" si="27"/>
        <v>138</v>
      </c>
      <c r="K141" s="80">
        <f t="shared" si="23"/>
        <v>2467.800000000007</v>
      </c>
      <c r="M141" s="4">
        <v>138</v>
      </c>
      <c r="N141" s="5">
        <f t="shared" si="28"/>
        <v>462.1</v>
      </c>
    </row>
    <row r="142" spans="1:14" ht="16.5">
      <c r="A142" s="86">
        <f t="shared" si="19"/>
        <v>139</v>
      </c>
      <c r="B142" s="80">
        <f t="shared" si="20"/>
        <v>1543.5000000000002</v>
      </c>
      <c r="C142" s="249"/>
      <c r="D142" s="86">
        <f t="shared" si="25"/>
        <v>139</v>
      </c>
      <c r="E142" s="80">
        <f t="shared" si="21"/>
        <v>1543.5000000000002</v>
      </c>
      <c r="G142" s="86">
        <f t="shared" si="26"/>
        <v>139</v>
      </c>
      <c r="H142" s="80">
        <f t="shared" si="22"/>
        <v>2264.6000000000067</v>
      </c>
      <c r="I142" s="28"/>
      <c r="J142" s="86">
        <f t="shared" si="27"/>
        <v>139</v>
      </c>
      <c r="K142" s="80">
        <f t="shared" si="23"/>
        <v>2484.7000000000071</v>
      </c>
      <c r="M142" s="4">
        <v>139</v>
      </c>
      <c r="N142" s="5">
        <f t="shared" si="28"/>
        <v>465.1</v>
      </c>
    </row>
    <row r="143" spans="1:14" ht="16.5">
      <c r="A143" s="86">
        <f t="shared" si="19"/>
        <v>140</v>
      </c>
      <c r="B143" s="80">
        <f t="shared" si="20"/>
        <v>1554.0000000000002</v>
      </c>
      <c r="C143" s="249"/>
      <c r="D143" s="86">
        <f t="shared" si="25"/>
        <v>140</v>
      </c>
      <c r="E143" s="80">
        <f t="shared" si="21"/>
        <v>1554.0000000000002</v>
      </c>
      <c r="G143" s="86">
        <f t="shared" si="26"/>
        <v>140</v>
      </c>
      <c r="H143" s="80">
        <f t="shared" si="22"/>
        <v>2280.0000000000068</v>
      </c>
      <c r="I143" s="28"/>
      <c r="J143" s="86">
        <f t="shared" si="27"/>
        <v>140</v>
      </c>
      <c r="K143" s="80">
        <f t="shared" si="23"/>
        <v>2501.6000000000072</v>
      </c>
      <c r="M143" s="4">
        <v>140</v>
      </c>
      <c r="N143" s="5">
        <f t="shared" si="28"/>
        <v>468.1</v>
      </c>
    </row>
    <row r="144" spans="1:14" ht="16.5">
      <c r="A144" s="86">
        <f t="shared" si="19"/>
        <v>141</v>
      </c>
      <c r="B144" s="80">
        <f t="shared" si="20"/>
        <v>1564.5000000000002</v>
      </c>
      <c r="C144" s="249"/>
      <c r="D144" s="86">
        <f t="shared" si="25"/>
        <v>141</v>
      </c>
      <c r="E144" s="80">
        <f t="shared" si="21"/>
        <v>1564.5000000000002</v>
      </c>
      <c r="G144" s="86">
        <f t="shared" si="26"/>
        <v>141</v>
      </c>
      <c r="H144" s="80">
        <f t="shared" si="22"/>
        <v>2295.4000000000069</v>
      </c>
      <c r="I144" s="28"/>
      <c r="J144" s="86">
        <f t="shared" si="27"/>
        <v>141</v>
      </c>
      <c r="K144" s="80">
        <f t="shared" si="23"/>
        <v>2518.5000000000073</v>
      </c>
      <c r="M144" s="4">
        <v>141</v>
      </c>
      <c r="N144" s="5">
        <f t="shared" si="28"/>
        <v>471.1</v>
      </c>
    </row>
    <row r="145" spans="1:14" ht="16.5">
      <c r="A145" s="86">
        <f t="shared" si="19"/>
        <v>142</v>
      </c>
      <c r="B145" s="80">
        <f t="shared" si="20"/>
        <v>1575.0000000000002</v>
      </c>
      <c r="C145" s="249"/>
      <c r="D145" s="86">
        <f t="shared" si="25"/>
        <v>142</v>
      </c>
      <c r="E145" s="80">
        <f t="shared" si="21"/>
        <v>1575.0000000000002</v>
      </c>
      <c r="G145" s="86">
        <f t="shared" si="26"/>
        <v>142</v>
      </c>
      <c r="H145" s="80">
        <f t="shared" si="22"/>
        <v>2310.800000000007</v>
      </c>
      <c r="I145" s="28"/>
      <c r="J145" s="86">
        <f t="shared" si="27"/>
        <v>142</v>
      </c>
      <c r="K145" s="80">
        <f t="shared" si="23"/>
        <v>2535.4000000000074</v>
      </c>
      <c r="M145" s="4">
        <v>142</v>
      </c>
      <c r="N145" s="5">
        <f t="shared" si="28"/>
        <v>474.1</v>
      </c>
    </row>
    <row r="146" spans="1:14" ht="16.5">
      <c r="A146" s="86">
        <f t="shared" si="19"/>
        <v>143</v>
      </c>
      <c r="B146" s="80">
        <f t="shared" si="20"/>
        <v>1585.5000000000002</v>
      </c>
      <c r="C146" s="249"/>
      <c r="D146" s="86">
        <f t="shared" si="25"/>
        <v>143</v>
      </c>
      <c r="E146" s="80">
        <f t="shared" si="21"/>
        <v>1585.5000000000002</v>
      </c>
      <c r="G146" s="86">
        <f t="shared" si="26"/>
        <v>143</v>
      </c>
      <c r="H146" s="80">
        <f t="shared" si="22"/>
        <v>2326.2000000000071</v>
      </c>
      <c r="I146" s="28"/>
      <c r="J146" s="86">
        <f t="shared" si="27"/>
        <v>143</v>
      </c>
      <c r="K146" s="80">
        <f t="shared" si="23"/>
        <v>2552.3000000000075</v>
      </c>
      <c r="M146" s="4">
        <v>143</v>
      </c>
      <c r="N146" s="5">
        <f t="shared" si="28"/>
        <v>477.1</v>
      </c>
    </row>
    <row r="147" spans="1:14" ht="16.5">
      <c r="A147" s="86">
        <f t="shared" si="19"/>
        <v>144</v>
      </c>
      <c r="B147" s="80">
        <f t="shared" si="20"/>
        <v>1596.0000000000002</v>
      </c>
      <c r="C147" s="249"/>
      <c r="D147" s="86">
        <f t="shared" si="25"/>
        <v>144</v>
      </c>
      <c r="E147" s="80">
        <f t="shared" si="21"/>
        <v>1596.0000000000002</v>
      </c>
      <c r="G147" s="86">
        <f t="shared" si="26"/>
        <v>144</v>
      </c>
      <c r="H147" s="80">
        <f t="shared" si="22"/>
        <v>2341.6000000000072</v>
      </c>
      <c r="I147" s="28"/>
      <c r="J147" s="86">
        <f t="shared" si="27"/>
        <v>144</v>
      </c>
      <c r="K147" s="80">
        <f t="shared" si="23"/>
        <v>2569.2000000000075</v>
      </c>
      <c r="M147" s="4">
        <v>144</v>
      </c>
      <c r="N147" s="5">
        <f t="shared" si="28"/>
        <v>480.1</v>
      </c>
    </row>
    <row r="148" spans="1:14" ht="16.5">
      <c r="A148" s="86">
        <f t="shared" si="19"/>
        <v>145</v>
      </c>
      <c r="B148" s="80">
        <f t="shared" si="20"/>
        <v>1606.5000000000002</v>
      </c>
      <c r="C148" s="249"/>
      <c r="D148" s="86">
        <f t="shared" si="25"/>
        <v>145</v>
      </c>
      <c r="E148" s="80">
        <f t="shared" si="21"/>
        <v>1606.5000000000002</v>
      </c>
      <c r="G148" s="86">
        <f t="shared" si="26"/>
        <v>145</v>
      </c>
      <c r="H148" s="80">
        <f t="shared" si="22"/>
        <v>2357.0000000000073</v>
      </c>
      <c r="I148" s="28"/>
      <c r="J148" s="86">
        <f t="shared" si="27"/>
        <v>145</v>
      </c>
      <c r="K148" s="80">
        <f t="shared" si="23"/>
        <v>2586.1000000000076</v>
      </c>
      <c r="M148" s="4">
        <v>145</v>
      </c>
      <c r="N148" s="5">
        <f t="shared" si="28"/>
        <v>483.1</v>
      </c>
    </row>
    <row r="149" spans="1:14" ht="16.5">
      <c r="A149" s="86">
        <f t="shared" si="19"/>
        <v>146</v>
      </c>
      <c r="B149" s="80">
        <f t="shared" si="20"/>
        <v>1617.0000000000002</v>
      </c>
      <c r="C149" s="249"/>
      <c r="D149" s="86">
        <f t="shared" si="25"/>
        <v>146</v>
      </c>
      <c r="E149" s="80">
        <f t="shared" si="21"/>
        <v>1617.0000000000002</v>
      </c>
      <c r="G149" s="86">
        <f t="shared" si="26"/>
        <v>146</v>
      </c>
      <c r="H149" s="80">
        <f t="shared" si="22"/>
        <v>2372.4000000000074</v>
      </c>
      <c r="I149" s="28"/>
      <c r="J149" s="86">
        <f t="shared" si="27"/>
        <v>146</v>
      </c>
      <c r="K149" s="80">
        <f t="shared" si="23"/>
        <v>2603.0000000000077</v>
      </c>
      <c r="M149" s="4">
        <v>146</v>
      </c>
      <c r="N149" s="5">
        <f t="shared" si="28"/>
        <v>486.1</v>
      </c>
    </row>
    <row r="150" spans="1:14" ht="16.5">
      <c r="A150" s="86">
        <f t="shared" si="19"/>
        <v>147</v>
      </c>
      <c r="B150" s="80">
        <f t="shared" si="20"/>
        <v>1627.5000000000002</v>
      </c>
      <c r="C150" s="249"/>
      <c r="D150" s="86">
        <f t="shared" si="25"/>
        <v>147</v>
      </c>
      <c r="E150" s="80">
        <f t="shared" si="21"/>
        <v>1627.5000000000002</v>
      </c>
      <c r="G150" s="86">
        <f t="shared" si="26"/>
        <v>147</v>
      </c>
      <c r="H150" s="80">
        <f t="shared" si="22"/>
        <v>2387.8000000000075</v>
      </c>
      <c r="I150" s="28"/>
      <c r="J150" s="86">
        <f t="shared" si="27"/>
        <v>147</v>
      </c>
      <c r="K150" s="80">
        <f t="shared" si="23"/>
        <v>2619.9000000000078</v>
      </c>
      <c r="M150" s="4">
        <v>147</v>
      </c>
      <c r="N150" s="5">
        <f t="shared" si="28"/>
        <v>489.1</v>
      </c>
    </row>
    <row r="151" spans="1:14" ht="16.5">
      <c r="A151" s="86">
        <f t="shared" si="19"/>
        <v>148</v>
      </c>
      <c r="B151" s="80">
        <f t="shared" si="20"/>
        <v>1638.0000000000002</v>
      </c>
      <c r="C151" s="249"/>
      <c r="D151" s="86">
        <f t="shared" si="25"/>
        <v>148</v>
      </c>
      <c r="E151" s="80">
        <f t="shared" si="21"/>
        <v>1638.0000000000002</v>
      </c>
      <c r="G151" s="86">
        <f t="shared" si="26"/>
        <v>148</v>
      </c>
      <c r="H151" s="80">
        <f t="shared" si="22"/>
        <v>2403.2000000000075</v>
      </c>
      <c r="I151" s="28"/>
      <c r="J151" s="86">
        <f t="shared" si="27"/>
        <v>148</v>
      </c>
      <c r="K151" s="80">
        <f t="shared" si="23"/>
        <v>2636.8000000000079</v>
      </c>
      <c r="M151" s="4">
        <v>148</v>
      </c>
      <c r="N151" s="5">
        <f t="shared" si="28"/>
        <v>492.1</v>
      </c>
    </row>
    <row r="152" spans="1:14" ht="16.5">
      <c r="A152" s="86">
        <f t="shared" si="19"/>
        <v>149</v>
      </c>
      <c r="B152" s="80">
        <f t="shared" si="20"/>
        <v>1648.5000000000002</v>
      </c>
      <c r="C152" s="249"/>
      <c r="D152" s="86">
        <f t="shared" si="25"/>
        <v>149</v>
      </c>
      <c r="E152" s="80">
        <f t="shared" si="21"/>
        <v>1648.5000000000002</v>
      </c>
      <c r="G152" s="86">
        <f t="shared" si="26"/>
        <v>149</v>
      </c>
      <c r="H152" s="80">
        <f t="shared" si="22"/>
        <v>2418.6000000000076</v>
      </c>
      <c r="I152" s="28"/>
      <c r="J152" s="86">
        <f t="shared" si="27"/>
        <v>149</v>
      </c>
      <c r="K152" s="80">
        <f t="shared" si="23"/>
        <v>2653.700000000008</v>
      </c>
      <c r="M152" s="4">
        <v>149</v>
      </c>
      <c r="N152" s="5">
        <f t="shared" si="28"/>
        <v>495.1</v>
      </c>
    </row>
    <row r="153" spans="1:14" ht="16.5">
      <c r="A153" s="86">
        <f t="shared" si="19"/>
        <v>150</v>
      </c>
      <c r="B153" s="80">
        <f t="shared" si="20"/>
        <v>1659.0000000000002</v>
      </c>
      <c r="C153" s="249"/>
      <c r="D153" s="86">
        <f t="shared" si="25"/>
        <v>150</v>
      </c>
      <c r="E153" s="80">
        <f t="shared" si="21"/>
        <v>1659.0000000000002</v>
      </c>
      <c r="G153" s="86">
        <f t="shared" si="26"/>
        <v>150</v>
      </c>
      <c r="H153" s="80">
        <f t="shared" si="22"/>
        <v>2434.0000000000077</v>
      </c>
      <c r="I153" s="28"/>
      <c r="J153" s="86">
        <f t="shared" si="27"/>
        <v>150</v>
      </c>
      <c r="K153" s="80">
        <f t="shared" si="23"/>
        <v>2670.6000000000081</v>
      </c>
      <c r="M153" s="4">
        <v>150</v>
      </c>
      <c r="N153" s="5">
        <f t="shared" si="28"/>
        <v>498.1</v>
      </c>
    </row>
    <row r="154" spans="1:14" ht="16.5">
      <c r="A154" s="86">
        <f t="shared" si="19"/>
        <v>151</v>
      </c>
      <c r="B154" s="80">
        <f t="shared" si="20"/>
        <v>1669.5000000000002</v>
      </c>
      <c r="C154" s="249"/>
      <c r="D154" s="86">
        <f t="shared" si="25"/>
        <v>151</v>
      </c>
      <c r="E154" s="80">
        <f t="shared" si="21"/>
        <v>1669.5000000000002</v>
      </c>
      <c r="G154" s="86">
        <f t="shared" si="26"/>
        <v>151</v>
      </c>
      <c r="H154" s="80">
        <f t="shared" si="22"/>
        <v>2449.4000000000078</v>
      </c>
      <c r="I154" s="28"/>
      <c r="J154" s="86">
        <f t="shared" si="27"/>
        <v>151</v>
      </c>
      <c r="K154" s="80">
        <f t="shared" si="23"/>
        <v>2687.5000000000082</v>
      </c>
      <c r="M154" s="4">
        <v>151</v>
      </c>
      <c r="N154" s="5">
        <f t="shared" si="28"/>
        <v>501.1</v>
      </c>
    </row>
    <row r="155" spans="1:14" ht="16.5">
      <c r="A155" s="86">
        <f t="shared" si="19"/>
        <v>152</v>
      </c>
      <c r="B155" s="80">
        <f t="shared" si="20"/>
        <v>1680.0000000000002</v>
      </c>
      <c r="C155" s="249"/>
      <c r="D155" s="86">
        <f t="shared" si="25"/>
        <v>152</v>
      </c>
      <c r="E155" s="80">
        <f t="shared" si="21"/>
        <v>1680.0000000000002</v>
      </c>
      <c r="G155" s="86">
        <f t="shared" si="26"/>
        <v>152</v>
      </c>
      <c r="H155" s="80">
        <f t="shared" si="22"/>
        <v>2464.8000000000079</v>
      </c>
      <c r="I155" s="28"/>
      <c r="J155" s="86">
        <f t="shared" si="27"/>
        <v>152</v>
      </c>
      <c r="K155" s="80">
        <f t="shared" si="23"/>
        <v>2704.4000000000083</v>
      </c>
      <c r="M155" s="4">
        <v>152</v>
      </c>
      <c r="N155" s="5">
        <f t="shared" si="28"/>
        <v>504.1</v>
      </c>
    </row>
    <row r="156" spans="1:14" ht="16.5">
      <c r="A156" s="86">
        <f t="shared" si="19"/>
        <v>153</v>
      </c>
      <c r="B156" s="80">
        <f t="shared" si="20"/>
        <v>1690.5000000000002</v>
      </c>
      <c r="C156" s="249"/>
      <c r="D156" s="86">
        <f t="shared" si="25"/>
        <v>153</v>
      </c>
      <c r="E156" s="80">
        <f t="shared" si="21"/>
        <v>1690.5000000000002</v>
      </c>
      <c r="G156" s="86">
        <f t="shared" si="26"/>
        <v>153</v>
      </c>
      <c r="H156" s="80">
        <f t="shared" si="22"/>
        <v>2480.200000000008</v>
      </c>
      <c r="I156" s="28"/>
      <c r="J156" s="86">
        <f t="shared" si="27"/>
        <v>153</v>
      </c>
      <c r="K156" s="80">
        <f t="shared" si="23"/>
        <v>2721.3000000000084</v>
      </c>
      <c r="M156" s="4">
        <v>153</v>
      </c>
      <c r="N156" s="5">
        <f t="shared" si="28"/>
        <v>507.1</v>
      </c>
    </row>
    <row r="157" spans="1:14" ht="16.5">
      <c r="A157" s="86">
        <f t="shared" si="19"/>
        <v>154</v>
      </c>
      <c r="B157" s="80">
        <f t="shared" si="20"/>
        <v>1701.0000000000002</v>
      </c>
      <c r="C157" s="249"/>
      <c r="D157" s="86">
        <f t="shared" si="25"/>
        <v>154</v>
      </c>
      <c r="E157" s="80">
        <f t="shared" si="21"/>
        <v>1701.0000000000002</v>
      </c>
      <c r="G157" s="86">
        <f t="shared" si="26"/>
        <v>154</v>
      </c>
      <c r="H157" s="80">
        <f t="shared" si="22"/>
        <v>2495.6000000000081</v>
      </c>
      <c r="I157" s="28"/>
      <c r="J157" s="86">
        <f t="shared" si="27"/>
        <v>154</v>
      </c>
      <c r="K157" s="80">
        <f t="shared" si="23"/>
        <v>2738.2000000000085</v>
      </c>
      <c r="M157" s="4">
        <v>154</v>
      </c>
      <c r="N157" s="5">
        <f t="shared" si="28"/>
        <v>510.1</v>
      </c>
    </row>
    <row r="158" spans="1:14" ht="16.5">
      <c r="A158" s="86">
        <f t="shared" si="19"/>
        <v>155</v>
      </c>
      <c r="B158" s="80">
        <f t="shared" si="20"/>
        <v>1711.5000000000002</v>
      </c>
      <c r="C158" s="249"/>
      <c r="D158" s="86">
        <f t="shared" si="25"/>
        <v>155</v>
      </c>
      <c r="E158" s="80">
        <f t="shared" si="21"/>
        <v>1711.5000000000002</v>
      </c>
      <c r="G158" s="86">
        <f t="shared" si="26"/>
        <v>155</v>
      </c>
      <c r="H158" s="80">
        <f t="shared" si="22"/>
        <v>2511.0000000000082</v>
      </c>
      <c r="I158" s="28"/>
      <c r="J158" s="86">
        <f t="shared" si="27"/>
        <v>155</v>
      </c>
      <c r="K158" s="80">
        <f t="shared" si="23"/>
        <v>2755.1000000000085</v>
      </c>
      <c r="M158" s="4">
        <v>155</v>
      </c>
      <c r="N158" s="5">
        <f t="shared" si="28"/>
        <v>513.1</v>
      </c>
    </row>
    <row r="159" spans="1:14" ht="16.5">
      <c r="A159" s="86">
        <f t="shared" si="19"/>
        <v>156</v>
      </c>
      <c r="B159" s="80">
        <f t="shared" si="20"/>
        <v>1722.0000000000002</v>
      </c>
      <c r="C159" s="249"/>
      <c r="D159" s="86">
        <f t="shared" si="25"/>
        <v>156</v>
      </c>
      <c r="E159" s="80">
        <f t="shared" si="21"/>
        <v>1722.0000000000002</v>
      </c>
      <c r="G159" s="86">
        <f t="shared" si="26"/>
        <v>156</v>
      </c>
      <c r="H159" s="80">
        <f t="shared" si="22"/>
        <v>2526.4000000000083</v>
      </c>
      <c r="I159" s="28"/>
      <c r="J159" s="86">
        <f t="shared" si="27"/>
        <v>156</v>
      </c>
      <c r="K159" s="80">
        <f t="shared" si="23"/>
        <v>2772.0000000000086</v>
      </c>
      <c r="M159" s="4">
        <v>156</v>
      </c>
      <c r="N159" s="5">
        <f t="shared" si="28"/>
        <v>516.1</v>
      </c>
    </row>
    <row r="160" spans="1:14" ht="16.5">
      <c r="A160" s="86">
        <f t="shared" si="19"/>
        <v>157</v>
      </c>
      <c r="B160" s="80">
        <f t="shared" si="20"/>
        <v>1732.5000000000002</v>
      </c>
      <c r="C160" s="249"/>
      <c r="D160" s="86">
        <f t="shared" si="25"/>
        <v>157</v>
      </c>
      <c r="E160" s="80">
        <f t="shared" si="21"/>
        <v>1732.5000000000002</v>
      </c>
      <c r="G160" s="86">
        <f t="shared" si="26"/>
        <v>157</v>
      </c>
      <c r="H160" s="80">
        <f t="shared" si="22"/>
        <v>2541.8000000000084</v>
      </c>
      <c r="I160" s="28"/>
      <c r="J160" s="86">
        <f t="shared" si="27"/>
        <v>157</v>
      </c>
      <c r="K160" s="80">
        <f t="shared" si="23"/>
        <v>2788.9000000000087</v>
      </c>
      <c r="M160" s="4">
        <v>157</v>
      </c>
      <c r="N160" s="5">
        <f t="shared" si="28"/>
        <v>519.1</v>
      </c>
    </row>
    <row r="161" spans="1:14" ht="16.5">
      <c r="A161" s="86">
        <f t="shared" si="19"/>
        <v>158</v>
      </c>
      <c r="B161" s="80">
        <f t="shared" si="20"/>
        <v>1743.0000000000002</v>
      </c>
      <c r="C161" s="249"/>
      <c r="D161" s="86">
        <f t="shared" si="25"/>
        <v>158</v>
      </c>
      <c r="E161" s="80">
        <f t="shared" si="21"/>
        <v>1743.0000000000002</v>
      </c>
      <c r="G161" s="86">
        <f t="shared" si="26"/>
        <v>158</v>
      </c>
      <c r="H161" s="80">
        <f t="shared" si="22"/>
        <v>2557.2000000000085</v>
      </c>
      <c r="I161" s="28"/>
      <c r="J161" s="86">
        <f t="shared" si="27"/>
        <v>158</v>
      </c>
      <c r="K161" s="80">
        <f t="shared" si="23"/>
        <v>2805.8000000000088</v>
      </c>
      <c r="M161" s="4">
        <v>158</v>
      </c>
      <c r="N161" s="5">
        <f t="shared" si="28"/>
        <v>522.1</v>
      </c>
    </row>
    <row r="162" spans="1:14" ht="16.5">
      <c r="A162" s="86">
        <f t="shared" si="19"/>
        <v>159</v>
      </c>
      <c r="B162" s="80">
        <f t="shared" si="20"/>
        <v>1753.5000000000002</v>
      </c>
      <c r="C162" s="249"/>
      <c r="D162" s="86">
        <f t="shared" si="25"/>
        <v>159</v>
      </c>
      <c r="E162" s="80">
        <f t="shared" si="21"/>
        <v>1753.5000000000002</v>
      </c>
      <c r="G162" s="86">
        <f t="shared" si="26"/>
        <v>159</v>
      </c>
      <c r="H162" s="80">
        <f t="shared" si="22"/>
        <v>2572.6000000000085</v>
      </c>
      <c r="I162" s="28"/>
      <c r="J162" s="86">
        <f t="shared" si="27"/>
        <v>159</v>
      </c>
      <c r="K162" s="80">
        <f t="shared" si="23"/>
        <v>2822.7000000000089</v>
      </c>
      <c r="M162" s="4">
        <v>159</v>
      </c>
      <c r="N162" s="5">
        <f t="shared" si="28"/>
        <v>525.1</v>
      </c>
    </row>
    <row r="163" spans="1:14" ht="16.5">
      <c r="A163" s="86">
        <f t="shared" ref="A163:A226" si="29">A162+1</f>
        <v>160</v>
      </c>
      <c r="B163" s="80">
        <f t="shared" ref="B163:B226" si="30">B162+10.5</f>
        <v>1764.0000000000002</v>
      </c>
      <c r="C163" s="249"/>
      <c r="D163" s="86">
        <f t="shared" si="25"/>
        <v>160</v>
      </c>
      <c r="E163" s="80">
        <f t="shared" ref="E163:E226" si="31">E162+10.5</f>
        <v>1764.0000000000002</v>
      </c>
      <c r="G163" s="86">
        <f t="shared" si="26"/>
        <v>160</v>
      </c>
      <c r="H163" s="80">
        <f t="shared" ref="H163:H226" si="32">H162+15.4</f>
        <v>2588.0000000000086</v>
      </c>
      <c r="I163" s="28"/>
      <c r="J163" s="86">
        <f t="shared" si="27"/>
        <v>160</v>
      </c>
      <c r="K163" s="80">
        <f t="shared" ref="K163:K226" si="33">K162+16.9</f>
        <v>2839.600000000009</v>
      </c>
      <c r="M163" s="4">
        <v>160</v>
      </c>
      <c r="N163" s="5">
        <f t="shared" si="28"/>
        <v>528.1</v>
      </c>
    </row>
    <row r="164" spans="1:14" ht="16.5">
      <c r="A164" s="86">
        <f t="shared" si="29"/>
        <v>161</v>
      </c>
      <c r="B164" s="80">
        <f t="shared" si="30"/>
        <v>1774.5000000000002</v>
      </c>
      <c r="C164" s="249"/>
      <c r="D164" s="86">
        <f t="shared" si="25"/>
        <v>161</v>
      </c>
      <c r="E164" s="80">
        <f t="shared" si="31"/>
        <v>1774.5000000000002</v>
      </c>
      <c r="G164" s="86">
        <f t="shared" si="26"/>
        <v>161</v>
      </c>
      <c r="H164" s="80">
        <f t="shared" si="32"/>
        <v>2603.4000000000087</v>
      </c>
      <c r="I164" s="28"/>
      <c r="J164" s="86">
        <f t="shared" si="27"/>
        <v>161</v>
      </c>
      <c r="K164" s="80">
        <f t="shared" si="33"/>
        <v>2856.5000000000091</v>
      </c>
      <c r="M164" s="4">
        <v>161</v>
      </c>
      <c r="N164" s="5">
        <f t="shared" si="28"/>
        <v>531.1</v>
      </c>
    </row>
    <row r="165" spans="1:14" ht="16.5">
      <c r="A165" s="86">
        <f t="shared" si="29"/>
        <v>162</v>
      </c>
      <c r="B165" s="80">
        <f t="shared" si="30"/>
        <v>1785.0000000000002</v>
      </c>
      <c r="C165" s="249"/>
      <c r="D165" s="86">
        <f t="shared" si="25"/>
        <v>162</v>
      </c>
      <c r="E165" s="80">
        <f t="shared" si="31"/>
        <v>1785.0000000000002</v>
      </c>
      <c r="G165" s="86">
        <f t="shared" si="26"/>
        <v>162</v>
      </c>
      <c r="H165" s="80">
        <f t="shared" si="32"/>
        <v>2618.8000000000088</v>
      </c>
      <c r="I165" s="28"/>
      <c r="J165" s="86">
        <f t="shared" si="27"/>
        <v>162</v>
      </c>
      <c r="K165" s="80">
        <f t="shared" si="33"/>
        <v>2873.4000000000092</v>
      </c>
      <c r="M165" s="4">
        <v>162</v>
      </c>
      <c r="N165" s="5">
        <f t="shared" si="28"/>
        <v>534.1</v>
      </c>
    </row>
    <row r="166" spans="1:14" ht="16.5">
      <c r="A166" s="86">
        <f t="shared" si="29"/>
        <v>163</v>
      </c>
      <c r="B166" s="80">
        <f t="shared" si="30"/>
        <v>1795.5000000000002</v>
      </c>
      <c r="C166" s="249"/>
      <c r="D166" s="86">
        <f t="shared" si="25"/>
        <v>163</v>
      </c>
      <c r="E166" s="80">
        <f t="shared" si="31"/>
        <v>1795.5000000000002</v>
      </c>
      <c r="G166" s="86">
        <f t="shared" si="26"/>
        <v>163</v>
      </c>
      <c r="H166" s="80">
        <f t="shared" si="32"/>
        <v>2634.2000000000089</v>
      </c>
      <c r="I166" s="28"/>
      <c r="J166" s="86">
        <f t="shared" si="27"/>
        <v>163</v>
      </c>
      <c r="K166" s="80">
        <f t="shared" si="33"/>
        <v>2890.3000000000093</v>
      </c>
      <c r="M166" s="4">
        <v>163</v>
      </c>
      <c r="N166" s="5">
        <f t="shared" si="28"/>
        <v>537.1</v>
      </c>
    </row>
    <row r="167" spans="1:14" ht="16.5">
      <c r="A167" s="86">
        <f t="shared" si="29"/>
        <v>164</v>
      </c>
      <c r="B167" s="80">
        <f t="shared" si="30"/>
        <v>1806.0000000000002</v>
      </c>
      <c r="C167" s="249"/>
      <c r="D167" s="86">
        <f t="shared" si="25"/>
        <v>164</v>
      </c>
      <c r="E167" s="80">
        <f t="shared" si="31"/>
        <v>1806.0000000000002</v>
      </c>
      <c r="G167" s="86">
        <f t="shared" si="26"/>
        <v>164</v>
      </c>
      <c r="H167" s="80">
        <f t="shared" si="32"/>
        <v>2649.600000000009</v>
      </c>
      <c r="I167" s="28"/>
      <c r="J167" s="86">
        <f t="shared" si="27"/>
        <v>164</v>
      </c>
      <c r="K167" s="80">
        <f t="shared" si="33"/>
        <v>2907.2000000000094</v>
      </c>
      <c r="M167" s="4">
        <v>164</v>
      </c>
      <c r="N167" s="5">
        <f t="shared" si="28"/>
        <v>540.1</v>
      </c>
    </row>
    <row r="168" spans="1:14" ht="16.5">
      <c r="A168" s="86">
        <f t="shared" si="29"/>
        <v>165</v>
      </c>
      <c r="B168" s="80">
        <f t="shared" si="30"/>
        <v>1816.5000000000002</v>
      </c>
      <c r="C168" s="249"/>
      <c r="D168" s="86">
        <f t="shared" si="25"/>
        <v>165</v>
      </c>
      <c r="E168" s="80">
        <f t="shared" si="31"/>
        <v>1816.5000000000002</v>
      </c>
      <c r="G168" s="86">
        <f t="shared" si="26"/>
        <v>165</v>
      </c>
      <c r="H168" s="80">
        <f t="shared" si="32"/>
        <v>2665.0000000000091</v>
      </c>
      <c r="I168" s="28"/>
      <c r="J168" s="86">
        <f t="shared" si="27"/>
        <v>165</v>
      </c>
      <c r="K168" s="80">
        <f t="shared" si="33"/>
        <v>2924.1000000000095</v>
      </c>
      <c r="M168" s="4">
        <v>165</v>
      </c>
      <c r="N168" s="5">
        <f t="shared" si="28"/>
        <v>543.1</v>
      </c>
    </row>
    <row r="169" spans="1:14" ht="16.5">
      <c r="A169" s="86">
        <f t="shared" si="29"/>
        <v>166</v>
      </c>
      <c r="B169" s="80">
        <f t="shared" si="30"/>
        <v>1827.0000000000002</v>
      </c>
      <c r="C169" s="249"/>
      <c r="D169" s="86">
        <f t="shared" si="25"/>
        <v>166</v>
      </c>
      <c r="E169" s="80">
        <f t="shared" si="31"/>
        <v>1827.0000000000002</v>
      </c>
      <c r="G169" s="86">
        <f t="shared" si="26"/>
        <v>166</v>
      </c>
      <c r="H169" s="80">
        <f t="shared" si="32"/>
        <v>2680.4000000000092</v>
      </c>
      <c r="I169" s="28"/>
      <c r="J169" s="86">
        <f t="shared" si="27"/>
        <v>166</v>
      </c>
      <c r="K169" s="80">
        <f t="shared" si="33"/>
        <v>2941.0000000000095</v>
      </c>
      <c r="M169" s="4">
        <v>166</v>
      </c>
      <c r="N169" s="5">
        <f t="shared" ref="N169:N203" si="34">N168+3</f>
        <v>546.1</v>
      </c>
    </row>
    <row r="170" spans="1:14" ht="16.5">
      <c r="A170" s="86">
        <f t="shared" si="29"/>
        <v>167</v>
      </c>
      <c r="B170" s="80">
        <f t="shared" si="30"/>
        <v>1837.5000000000002</v>
      </c>
      <c r="C170" s="249"/>
      <c r="D170" s="86">
        <f t="shared" si="25"/>
        <v>167</v>
      </c>
      <c r="E170" s="80">
        <f t="shared" si="31"/>
        <v>1837.5000000000002</v>
      </c>
      <c r="G170" s="86">
        <f t="shared" si="26"/>
        <v>167</v>
      </c>
      <c r="H170" s="80">
        <f t="shared" si="32"/>
        <v>2695.8000000000093</v>
      </c>
      <c r="I170" s="28"/>
      <c r="J170" s="86">
        <f t="shared" si="27"/>
        <v>167</v>
      </c>
      <c r="K170" s="80">
        <f t="shared" si="33"/>
        <v>2957.9000000000096</v>
      </c>
      <c r="M170" s="4">
        <v>167</v>
      </c>
      <c r="N170" s="5">
        <f t="shared" si="34"/>
        <v>549.1</v>
      </c>
    </row>
    <row r="171" spans="1:14" ht="16.5">
      <c r="A171" s="86">
        <f t="shared" si="29"/>
        <v>168</v>
      </c>
      <c r="B171" s="80">
        <f t="shared" si="30"/>
        <v>1848.0000000000002</v>
      </c>
      <c r="C171" s="249"/>
      <c r="D171" s="86">
        <f t="shared" si="25"/>
        <v>168</v>
      </c>
      <c r="E171" s="80">
        <f t="shared" si="31"/>
        <v>1848.0000000000002</v>
      </c>
      <c r="G171" s="86">
        <f t="shared" si="26"/>
        <v>168</v>
      </c>
      <c r="H171" s="80">
        <f t="shared" si="32"/>
        <v>2711.2000000000094</v>
      </c>
      <c r="I171" s="28"/>
      <c r="J171" s="86">
        <f t="shared" si="27"/>
        <v>168</v>
      </c>
      <c r="K171" s="80">
        <f t="shared" si="33"/>
        <v>2974.8000000000097</v>
      </c>
      <c r="M171" s="4">
        <v>168</v>
      </c>
      <c r="N171" s="5">
        <f t="shared" si="34"/>
        <v>552.1</v>
      </c>
    </row>
    <row r="172" spans="1:14" ht="16.5">
      <c r="A172" s="86">
        <f t="shared" si="29"/>
        <v>169</v>
      </c>
      <c r="B172" s="80">
        <f t="shared" si="30"/>
        <v>1858.5000000000002</v>
      </c>
      <c r="C172" s="249"/>
      <c r="D172" s="86">
        <f t="shared" si="25"/>
        <v>169</v>
      </c>
      <c r="E172" s="80">
        <f t="shared" si="31"/>
        <v>1858.5000000000002</v>
      </c>
      <c r="G172" s="86">
        <f t="shared" si="26"/>
        <v>169</v>
      </c>
      <c r="H172" s="80">
        <f t="shared" si="32"/>
        <v>2726.6000000000095</v>
      </c>
      <c r="I172" s="28"/>
      <c r="J172" s="86">
        <f t="shared" si="27"/>
        <v>169</v>
      </c>
      <c r="K172" s="80">
        <f t="shared" si="33"/>
        <v>2991.7000000000098</v>
      </c>
      <c r="M172" s="4">
        <v>169</v>
      </c>
      <c r="N172" s="5">
        <f t="shared" si="34"/>
        <v>555.1</v>
      </c>
    </row>
    <row r="173" spans="1:14" ht="16.5">
      <c r="A173" s="86">
        <f t="shared" si="29"/>
        <v>170</v>
      </c>
      <c r="B173" s="80">
        <f t="shared" si="30"/>
        <v>1869.0000000000002</v>
      </c>
      <c r="C173" s="249"/>
      <c r="D173" s="86">
        <f t="shared" si="25"/>
        <v>170</v>
      </c>
      <c r="E173" s="80">
        <f t="shared" si="31"/>
        <v>1869.0000000000002</v>
      </c>
      <c r="G173" s="86">
        <f t="shared" si="26"/>
        <v>170</v>
      </c>
      <c r="H173" s="80">
        <f t="shared" si="32"/>
        <v>2742.0000000000095</v>
      </c>
      <c r="I173" s="28"/>
      <c r="J173" s="86">
        <f t="shared" si="27"/>
        <v>170</v>
      </c>
      <c r="K173" s="80">
        <f t="shared" si="33"/>
        <v>3008.6000000000099</v>
      </c>
      <c r="M173" s="4">
        <v>170</v>
      </c>
      <c r="N173" s="5">
        <f t="shared" si="34"/>
        <v>558.1</v>
      </c>
    </row>
    <row r="174" spans="1:14" ht="16.5">
      <c r="A174" s="86">
        <f t="shared" si="29"/>
        <v>171</v>
      </c>
      <c r="B174" s="80">
        <f t="shared" si="30"/>
        <v>1879.5000000000002</v>
      </c>
      <c r="C174" s="249"/>
      <c r="D174" s="86">
        <f t="shared" si="25"/>
        <v>171</v>
      </c>
      <c r="E174" s="80">
        <f t="shared" si="31"/>
        <v>1879.5000000000002</v>
      </c>
      <c r="G174" s="86">
        <f t="shared" si="26"/>
        <v>171</v>
      </c>
      <c r="H174" s="80">
        <f t="shared" si="32"/>
        <v>2757.4000000000096</v>
      </c>
      <c r="I174" s="28"/>
      <c r="J174" s="86">
        <f t="shared" si="27"/>
        <v>171</v>
      </c>
      <c r="K174" s="80">
        <f t="shared" si="33"/>
        <v>3025.50000000001</v>
      </c>
      <c r="M174" s="4">
        <v>171</v>
      </c>
      <c r="N174" s="5">
        <f t="shared" si="34"/>
        <v>561.1</v>
      </c>
    </row>
    <row r="175" spans="1:14" ht="16.5">
      <c r="A175" s="86">
        <f t="shared" si="29"/>
        <v>172</v>
      </c>
      <c r="B175" s="80">
        <f t="shared" si="30"/>
        <v>1890.0000000000002</v>
      </c>
      <c r="C175" s="249"/>
      <c r="D175" s="86">
        <f t="shared" si="25"/>
        <v>172</v>
      </c>
      <c r="E175" s="80">
        <f t="shared" si="31"/>
        <v>1890.0000000000002</v>
      </c>
      <c r="G175" s="86">
        <f t="shared" si="26"/>
        <v>172</v>
      </c>
      <c r="H175" s="80">
        <f t="shared" si="32"/>
        <v>2772.8000000000097</v>
      </c>
      <c r="I175" s="28"/>
      <c r="J175" s="86">
        <f t="shared" si="27"/>
        <v>172</v>
      </c>
      <c r="K175" s="80">
        <f t="shared" si="33"/>
        <v>3042.4000000000101</v>
      </c>
      <c r="M175" s="4">
        <v>172</v>
      </c>
      <c r="N175" s="5">
        <f t="shared" si="34"/>
        <v>564.1</v>
      </c>
    </row>
    <row r="176" spans="1:14" ht="16.5">
      <c r="A176" s="86">
        <f t="shared" si="29"/>
        <v>173</v>
      </c>
      <c r="B176" s="80">
        <f t="shared" si="30"/>
        <v>1900.5000000000002</v>
      </c>
      <c r="C176" s="249"/>
      <c r="D176" s="86">
        <f t="shared" si="25"/>
        <v>173</v>
      </c>
      <c r="E176" s="80">
        <f t="shared" si="31"/>
        <v>1900.5000000000002</v>
      </c>
      <c r="G176" s="86">
        <f t="shared" si="26"/>
        <v>173</v>
      </c>
      <c r="H176" s="80">
        <f t="shared" si="32"/>
        <v>2788.2000000000098</v>
      </c>
      <c r="I176" s="28"/>
      <c r="J176" s="86">
        <f t="shared" si="27"/>
        <v>173</v>
      </c>
      <c r="K176" s="80">
        <f t="shared" si="33"/>
        <v>3059.3000000000102</v>
      </c>
      <c r="M176" s="4">
        <v>173</v>
      </c>
      <c r="N176" s="5">
        <f t="shared" si="34"/>
        <v>567.1</v>
      </c>
    </row>
    <row r="177" spans="1:14" ht="16.5">
      <c r="A177" s="86">
        <f t="shared" si="29"/>
        <v>174</v>
      </c>
      <c r="B177" s="80">
        <f t="shared" si="30"/>
        <v>1911.0000000000002</v>
      </c>
      <c r="C177" s="249"/>
      <c r="D177" s="86">
        <f t="shared" si="25"/>
        <v>174</v>
      </c>
      <c r="E177" s="80">
        <f t="shared" si="31"/>
        <v>1911.0000000000002</v>
      </c>
      <c r="G177" s="86">
        <f t="shared" si="26"/>
        <v>174</v>
      </c>
      <c r="H177" s="80">
        <f t="shared" si="32"/>
        <v>2803.6000000000099</v>
      </c>
      <c r="I177" s="28"/>
      <c r="J177" s="86">
        <f t="shared" si="27"/>
        <v>174</v>
      </c>
      <c r="K177" s="80">
        <f t="shared" si="33"/>
        <v>3076.2000000000103</v>
      </c>
      <c r="M177" s="4">
        <v>174</v>
      </c>
      <c r="N177" s="5">
        <f t="shared" si="34"/>
        <v>570.1</v>
      </c>
    </row>
    <row r="178" spans="1:14" ht="16.5">
      <c r="A178" s="86">
        <f t="shared" si="29"/>
        <v>175</v>
      </c>
      <c r="B178" s="80">
        <f t="shared" si="30"/>
        <v>1921.5000000000002</v>
      </c>
      <c r="C178" s="249"/>
      <c r="D178" s="86">
        <f t="shared" si="25"/>
        <v>175</v>
      </c>
      <c r="E178" s="80">
        <f t="shared" si="31"/>
        <v>1921.5000000000002</v>
      </c>
      <c r="G178" s="86">
        <f t="shared" si="26"/>
        <v>175</v>
      </c>
      <c r="H178" s="80">
        <f t="shared" si="32"/>
        <v>2819.00000000001</v>
      </c>
      <c r="I178" s="28"/>
      <c r="J178" s="86">
        <f t="shared" si="27"/>
        <v>175</v>
      </c>
      <c r="K178" s="80">
        <f t="shared" si="33"/>
        <v>3093.1000000000104</v>
      </c>
      <c r="M178" s="4">
        <v>175</v>
      </c>
      <c r="N178" s="5">
        <f t="shared" si="34"/>
        <v>573.1</v>
      </c>
    </row>
    <row r="179" spans="1:14" ht="16.5">
      <c r="A179" s="86">
        <f t="shared" si="29"/>
        <v>176</v>
      </c>
      <c r="B179" s="80">
        <f t="shared" si="30"/>
        <v>1932.0000000000002</v>
      </c>
      <c r="C179" s="249"/>
      <c r="D179" s="86">
        <f t="shared" si="25"/>
        <v>176</v>
      </c>
      <c r="E179" s="80">
        <f t="shared" si="31"/>
        <v>1932.0000000000002</v>
      </c>
      <c r="G179" s="86">
        <f t="shared" si="26"/>
        <v>176</v>
      </c>
      <c r="H179" s="80">
        <f t="shared" si="32"/>
        <v>2834.4000000000101</v>
      </c>
      <c r="I179" s="28"/>
      <c r="J179" s="86">
        <f t="shared" si="27"/>
        <v>176</v>
      </c>
      <c r="K179" s="80">
        <f t="shared" si="33"/>
        <v>3110.0000000000105</v>
      </c>
      <c r="M179" s="4">
        <v>176</v>
      </c>
      <c r="N179" s="5">
        <f t="shared" si="34"/>
        <v>576.1</v>
      </c>
    </row>
    <row r="180" spans="1:14" ht="16.5">
      <c r="A180" s="86">
        <f t="shared" si="29"/>
        <v>177</v>
      </c>
      <c r="B180" s="80">
        <f t="shared" si="30"/>
        <v>1942.5000000000002</v>
      </c>
      <c r="C180" s="249"/>
      <c r="D180" s="86">
        <f t="shared" si="25"/>
        <v>177</v>
      </c>
      <c r="E180" s="80">
        <f t="shared" si="31"/>
        <v>1942.5000000000002</v>
      </c>
      <c r="G180" s="86">
        <f t="shared" si="26"/>
        <v>177</v>
      </c>
      <c r="H180" s="80">
        <f t="shared" si="32"/>
        <v>2849.8000000000102</v>
      </c>
      <c r="I180" s="28"/>
      <c r="J180" s="86">
        <f t="shared" si="27"/>
        <v>177</v>
      </c>
      <c r="K180" s="80">
        <f t="shared" si="33"/>
        <v>3126.9000000000106</v>
      </c>
      <c r="M180" s="4">
        <v>177</v>
      </c>
      <c r="N180" s="5">
        <f t="shared" si="34"/>
        <v>579.1</v>
      </c>
    </row>
    <row r="181" spans="1:14" ht="16.5">
      <c r="A181" s="86">
        <f t="shared" si="29"/>
        <v>178</v>
      </c>
      <c r="B181" s="80">
        <f t="shared" si="30"/>
        <v>1953.0000000000002</v>
      </c>
      <c r="C181" s="249"/>
      <c r="D181" s="86">
        <f t="shared" si="25"/>
        <v>178</v>
      </c>
      <c r="E181" s="80">
        <f t="shared" si="31"/>
        <v>1953.0000000000002</v>
      </c>
      <c r="G181" s="86">
        <f t="shared" si="26"/>
        <v>178</v>
      </c>
      <c r="H181" s="80">
        <f t="shared" si="32"/>
        <v>2865.2000000000103</v>
      </c>
      <c r="I181" s="28"/>
      <c r="J181" s="86">
        <f t="shared" si="27"/>
        <v>178</v>
      </c>
      <c r="K181" s="80">
        <f t="shared" si="33"/>
        <v>3143.8000000000106</v>
      </c>
      <c r="M181" s="4">
        <v>178</v>
      </c>
      <c r="N181" s="5">
        <f t="shared" si="34"/>
        <v>582.1</v>
      </c>
    </row>
    <row r="182" spans="1:14" ht="16.5">
      <c r="A182" s="86">
        <f t="shared" si="29"/>
        <v>179</v>
      </c>
      <c r="B182" s="80">
        <f t="shared" si="30"/>
        <v>1963.5000000000002</v>
      </c>
      <c r="C182" s="249"/>
      <c r="D182" s="86">
        <f t="shared" si="25"/>
        <v>179</v>
      </c>
      <c r="E182" s="80">
        <f t="shared" si="31"/>
        <v>1963.5000000000002</v>
      </c>
      <c r="G182" s="86">
        <f t="shared" si="26"/>
        <v>179</v>
      </c>
      <c r="H182" s="80">
        <f t="shared" si="32"/>
        <v>2880.6000000000104</v>
      </c>
      <c r="I182" s="28"/>
      <c r="J182" s="86">
        <f t="shared" si="27"/>
        <v>179</v>
      </c>
      <c r="K182" s="80">
        <f t="shared" si="33"/>
        <v>3160.7000000000107</v>
      </c>
      <c r="M182" s="4">
        <v>179</v>
      </c>
      <c r="N182" s="5">
        <f t="shared" si="34"/>
        <v>585.1</v>
      </c>
    </row>
    <row r="183" spans="1:14" ht="16.5">
      <c r="A183" s="86">
        <f t="shared" si="29"/>
        <v>180</v>
      </c>
      <c r="B183" s="80">
        <f t="shared" si="30"/>
        <v>1974.0000000000002</v>
      </c>
      <c r="C183" s="249"/>
      <c r="D183" s="86">
        <f t="shared" si="25"/>
        <v>180</v>
      </c>
      <c r="E183" s="80">
        <f t="shared" si="31"/>
        <v>1974.0000000000002</v>
      </c>
      <c r="G183" s="86">
        <f t="shared" si="26"/>
        <v>180</v>
      </c>
      <c r="H183" s="80">
        <f t="shared" si="32"/>
        <v>2896.0000000000105</v>
      </c>
      <c r="I183" s="28"/>
      <c r="J183" s="86">
        <f t="shared" si="27"/>
        <v>180</v>
      </c>
      <c r="K183" s="80">
        <f t="shared" si="33"/>
        <v>3177.6000000000108</v>
      </c>
      <c r="M183" s="4">
        <v>180</v>
      </c>
      <c r="N183" s="5">
        <f t="shared" si="34"/>
        <v>588.1</v>
      </c>
    </row>
    <row r="184" spans="1:14" ht="16.5">
      <c r="A184" s="86">
        <f t="shared" si="29"/>
        <v>181</v>
      </c>
      <c r="B184" s="80">
        <f t="shared" si="30"/>
        <v>1984.5000000000002</v>
      </c>
      <c r="C184" s="249"/>
      <c r="D184" s="86">
        <f t="shared" si="25"/>
        <v>181</v>
      </c>
      <c r="E184" s="80">
        <f t="shared" si="31"/>
        <v>1984.5000000000002</v>
      </c>
      <c r="G184" s="86">
        <f t="shared" si="26"/>
        <v>181</v>
      </c>
      <c r="H184" s="80">
        <f t="shared" si="32"/>
        <v>2911.4000000000106</v>
      </c>
      <c r="I184" s="28"/>
      <c r="J184" s="86">
        <f t="shared" si="27"/>
        <v>181</v>
      </c>
      <c r="K184" s="80">
        <f t="shared" si="33"/>
        <v>3194.5000000000109</v>
      </c>
      <c r="M184" s="4">
        <v>181</v>
      </c>
      <c r="N184" s="5">
        <f t="shared" si="34"/>
        <v>591.1</v>
      </c>
    </row>
    <row r="185" spans="1:14" ht="16.5">
      <c r="A185" s="86">
        <f t="shared" si="29"/>
        <v>182</v>
      </c>
      <c r="B185" s="80">
        <f t="shared" si="30"/>
        <v>1995.0000000000002</v>
      </c>
      <c r="C185" s="249"/>
      <c r="D185" s="86">
        <f t="shared" si="25"/>
        <v>182</v>
      </c>
      <c r="E185" s="80">
        <f t="shared" si="31"/>
        <v>1995.0000000000002</v>
      </c>
      <c r="G185" s="86">
        <f t="shared" si="26"/>
        <v>182</v>
      </c>
      <c r="H185" s="80">
        <f t="shared" si="32"/>
        <v>2926.8000000000106</v>
      </c>
      <c r="I185" s="28"/>
      <c r="J185" s="86">
        <f t="shared" si="27"/>
        <v>182</v>
      </c>
      <c r="K185" s="80">
        <f t="shared" si="33"/>
        <v>3211.400000000011</v>
      </c>
      <c r="M185" s="4">
        <v>182</v>
      </c>
      <c r="N185" s="5">
        <f t="shared" si="34"/>
        <v>594.1</v>
      </c>
    </row>
    <row r="186" spans="1:14" ht="16.5">
      <c r="A186" s="86">
        <f t="shared" si="29"/>
        <v>183</v>
      </c>
      <c r="B186" s="80">
        <f t="shared" si="30"/>
        <v>2005.5000000000002</v>
      </c>
      <c r="C186" s="249"/>
      <c r="D186" s="86">
        <f t="shared" si="25"/>
        <v>183</v>
      </c>
      <c r="E186" s="80">
        <f t="shared" si="31"/>
        <v>2005.5000000000002</v>
      </c>
      <c r="G186" s="86">
        <f t="shared" si="26"/>
        <v>183</v>
      </c>
      <c r="H186" s="80">
        <f t="shared" si="32"/>
        <v>2942.2000000000107</v>
      </c>
      <c r="I186" s="28"/>
      <c r="J186" s="86">
        <f t="shared" si="27"/>
        <v>183</v>
      </c>
      <c r="K186" s="80">
        <f t="shared" si="33"/>
        <v>3228.3000000000111</v>
      </c>
      <c r="M186" s="4">
        <v>183</v>
      </c>
      <c r="N186" s="5">
        <f t="shared" si="34"/>
        <v>597.1</v>
      </c>
    </row>
    <row r="187" spans="1:14" ht="16.5">
      <c r="A187" s="86">
        <f t="shared" si="29"/>
        <v>184</v>
      </c>
      <c r="B187" s="80">
        <f t="shared" si="30"/>
        <v>2016.0000000000002</v>
      </c>
      <c r="C187" s="249"/>
      <c r="D187" s="86">
        <f t="shared" si="25"/>
        <v>184</v>
      </c>
      <c r="E187" s="80">
        <f t="shared" si="31"/>
        <v>2016.0000000000002</v>
      </c>
      <c r="G187" s="86">
        <f t="shared" si="26"/>
        <v>184</v>
      </c>
      <c r="H187" s="80">
        <f t="shared" si="32"/>
        <v>2957.6000000000108</v>
      </c>
      <c r="I187" s="28"/>
      <c r="J187" s="86">
        <f t="shared" si="27"/>
        <v>184</v>
      </c>
      <c r="K187" s="80">
        <f t="shared" si="33"/>
        <v>3245.2000000000112</v>
      </c>
      <c r="M187" s="4">
        <v>184</v>
      </c>
      <c r="N187" s="5">
        <f t="shared" si="34"/>
        <v>600.1</v>
      </c>
    </row>
    <row r="188" spans="1:14" ht="16.5">
      <c r="A188" s="86">
        <f t="shared" si="29"/>
        <v>185</v>
      </c>
      <c r="B188" s="80">
        <f t="shared" si="30"/>
        <v>2026.5000000000002</v>
      </c>
      <c r="C188" s="249"/>
      <c r="D188" s="86">
        <f t="shared" si="25"/>
        <v>185</v>
      </c>
      <c r="E188" s="80">
        <f t="shared" si="31"/>
        <v>2026.5000000000002</v>
      </c>
      <c r="G188" s="86">
        <f t="shared" si="26"/>
        <v>185</v>
      </c>
      <c r="H188" s="80">
        <f t="shared" si="32"/>
        <v>2973.0000000000109</v>
      </c>
      <c r="I188" s="28"/>
      <c r="J188" s="86">
        <f t="shared" si="27"/>
        <v>185</v>
      </c>
      <c r="K188" s="80">
        <f t="shared" si="33"/>
        <v>3262.1000000000113</v>
      </c>
      <c r="M188" s="4">
        <v>185</v>
      </c>
      <c r="N188" s="5">
        <f t="shared" si="34"/>
        <v>603.1</v>
      </c>
    </row>
    <row r="189" spans="1:14" ht="16.5">
      <c r="A189" s="86">
        <f t="shared" si="29"/>
        <v>186</v>
      </c>
      <c r="B189" s="80">
        <f t="shared" si="30"/>
        <v>2037.0000000000002</v>
      </c>
      <c r="C189" s="249"/>
      <c r="D189" s="86">
        <f t="shared" si="25"/>
        <v>186</v>
      </c>
      <c r="E189" s="80">
        <f t="shared" si="31"/>
        <v>2037.0000000000002</v>
      </c>
      <c r="G189" s="86">
        <f t="shared" si="26"/>
        <v>186</v>
      </c>
      <c r="H189" s="80">
        <f t="shared" si="32"/>
        <v>2988.400000000011</v>
      </c>
      <c r="I189" s="28"/>
      <c r="J189" s="86">
        <f t="shared" si="27"/>
        <v>186</v>
      </c>
      <c r="K189" s="80">
        <f t="shared" si="33"/>
        <v>3279.0000000000114</v>
      </c>
      <c r="M189" s="4">
        <v>186</v>
      </c>
      <c r="N189" s="5">
        <f t="shared" si="34"/>
        <v>606.1</v>
      </c>
    </row>
    <row r="190" spans="1:14" ht="16.5">
      <c r="A190" s="86">
        <f t="shared" si="29"/>
        <v>187</v>
      </c>
      <c r="B190" s="80">
        <f t="shared" si="30"/>
        <v>2047.5000000000002</v>
      </c>
      <c r="C190" s="249"/>
      <c r="D190" s="86">
        <f t="shared" si="25"/>
        <v>187</v>
      </c>
      <c r="E190" s="80">
        <f t="shared" si="31"/>
        <v>2047.5000000000002</v>
      </c>
      <c r="G190" s="86">
        <f t="shared" si="26"/>
        <v>187</v>
      </c>
      <c r="H190" s="80">
        <f t="shared" si="32"/>
        <v>3003.8000000000111</v>
      </c>
      <c r="I190" s="28"/>
      <c r="J190" s="86">
        <f t="shared" si="27"/>
        <v>187</v>
      </c>
      <c r="K190" s="80">
        <f t="shared" si="33"/>
        <v>3295.9000000000115</v>
      </c>
      <c r="M190" s="4">
        <v>187</v>
      </c>
      <c r="N190" s="5">
        <f t="shared" si="34"/>
        <v>609.1</v>
      </c>
    </row>
    <row r="191" spans="1:14" ht="16.5">
      <c r="A191" s="86">
        <f t="shared" si="29"/>
        <v>188</v>
      </c>
      <c r="B191" s="80">
        <f t="shared" si="30"/>
        <v>2058</v>
      </c>
      <c r="C191" s="249"/>
      <c r="D191" s="86">
        <f t="shared" si="25"/>
        <v>188</v>
      </c>
      <c r="E191" s="80">
        <f t="shared" si="31"/>
        <v>2058</v>
      </c>
      <c r="G191" s="86">
        <f t="shared" si="26"/>
        <v>188</v>
      </c>
      <c r="H191" s="80">
        <f t="shared" si="32"/>
        <v>3019.2000000000112</v>
      </c>
      <c r="I191" s="28"/>
      <c r="J191" s="86">
        <f t="shared" si="27"/>
        <v>188</v>
      </c>
      <c r="K191" s="80">
        <f t="shared" si="33"/>
        <v>3312.8000000000116</v>
      </c>
      <c r="M191" s="4">
        <v>188</v>
      </c>
      <c r="N191" s="5">
        <f t="shared" si="34"/>
        <v>612.1</v>
      </c>
    </row>
    <row r="192" spans="1:14" ht="16.5">
      <c r="A192" s="86">
        <f t="shared" si="29"/>
        <v>189</v>
      </c>
      <c r="B192" s="80">
        <f t="shared" si="30"/>
        <v>2068.5</v>
      </c>
      <c r="C192" s="249"/>
      <c r="D192" s="86">
        <f t="shared" si="25"/>
        <v>189</v>
      </c>
      <c r="E192" s="80">
        <f t="shared" si="31"/>
        <v>2068.5</v>
      </c>
      <c r="G192" s="86">
        <f t="shared" si="26"/>
        <v>189</v>
      </c>
      <c r="H192" s="80">
        <f t="shared" si="32"/>
        <v>3034.6000000000113</v>
      </c>
      <c r="I192" s="28"/>
      <c r="J192" s="86">
        <f t="shared" si="27"/>
        <v>189</v>
      </c>
      <c r="K192" s="80">
        <f t="shared" si="33"/>
        <v>3329.7000000000116</v>
      </c>
      <c r="M192" s="4">
        <v>189</v>
      </c>
      <c r="N192" s="5">
        <f t="shared" si="34"/>
        <v>615.1</v>
      </c>
    </row>
    <row r="193" spans="1:14" ht="16.5">
      <c r="A193" s="86">
        <f t="shared" si="29"/>
        <v>190</v>
      </c>
      <c r="B193" s="80">
        <f t="shared" si="30"/>
        <v>2079</v>
      </c>
      <c r="C193" s="249"/>
      <c r="D193" s="86">
        <f t="shared" si="25"/>
        <v>190</v>
      </c>
      <c r="E193" s="80">
        <f t="shared" si="31"/>
        <v>2079</v>
      </c>
      <c r="G193" s="86">
        <f t="shared" si="26"/>
        <v>190</v>
      </c>
      <c r="H193" s="80">
        <f t="shared" si="32"/>
        <v>3050.0000000000114</v>
      </c>
      <c r="I193" s="28"/>
      <c r="J193" s="86">
        <f t="shared" si="27"/>
        <v>190</v>
      </c>
      <c r="K193" s="80">
        <f t="shared" si="33"/>
        <v>3346.6000000000117</v>
      </c>
      <c r="M193" s="4">
        <v>190</v>
      </c>
      <c r="N193" s="5">
        <f t="shared" si="34"/>
        <v>618.1</v>
      </c>
    </row>
    <row r="194" spans="1:14" ht="16.5">
      <c r="A194" s="86">
        <f t="shared" si="29"/>
        <v>191</v>
      </c>
      <c r="B194" s="80">
        <f t="shared" si="30"/>
        <v>2089.5</v>
      </c>
      <c r="C194" s="249"/>
      <c r="D194" s="86">
        <f t="shared" si="25"/>
        <v>191</v>
      </c>
      <c r="E194" s="80">
        <f t="shared" si="31"/>
        <v>2089.5</v>
      </c>
      <c r="G194" s="86">
        <f t="shared" si="26"/>
        <v>191</v>
      </c>
      <c r="H194" s="80">
        <f t="shared" si="32"/>
        <v>3065.4000000000115</v>
      </c>
      <c r="I194" s="28"/>
      <c r="J194" s="86">
        <f t="shared" si="27"/>
        <v>191</v>
      </c>
      <c r="K194" s="80">
        <f t="shared" si="33"/>
        <v>3363.5000000000118</v>
      </c>
      <c r="M194" s="4">
        <v>191</v>
      </c>
      <c r="N194" s="5">
        <f t="shared" si="34"/>
        <v>621.1</v>
      </c>
    </row>
    <row r="195" spans="1:14" ht="16.5">
      <c r="A195" s="86">
        <f t="shared" si="29"/>
        <v>192</v>
      </c>
      <c r="B195" s="80">
        <f t="shared" si="30"/>
        <v>2100</v>
      </c>
      <c r="C195" s="249"/>
      <c r="D195" s="86">
        <f t="shared" si="25"/>
        <v>192</v>
      </c>
      <c r="E195" s="80">
        <f t="shared" si="31"/>
        <v>2100</v>
      </c>
      <c r="G195" s="86">
        <f t="shared" si="26"/>
        <v>192</v>
      </c>
      <c r="H195" s="80">
        <f t="shared" si="32"/>
        <v>3080.8000000000116</v>
      </c>
      <c r="I195" s="28"/>
      <c r="J195" s="86">
        <f t="shared" si="27"/>
        <v>192</v>
      </c>
      <c r="K195" s="80">
        <f t="shared" si="33"/>
        <v>3380.4000000000119</v>
      </c>
      <c r="M195" s="4">
        <v>192</v>
      </c>
      <c r="N195" s="5">
        <f t="shared" si="34"/>
        <v>624.1</v>
      </c>
    </row>
    <row r="196" spans="1:14" ht="16.5">
      <c r="A196" s="86">
        <f t="shared" si="29"/>
        <v>193</v>
      </c>
      <c r="B196" s="80">
        <f t="shared" si="30"/>
        <v>2110.5</v>
      </c>
      <c r="C196" s="249"/>
      <c r="D196" s="86">
        <f t="shared" si="25"/>
        <v>193</v>
      </c>
      <c r="E196" s="80">
        <f t="shared" si="31"/>
        <v>2110.5</v>
      </c>
      <c r="G196" s="86">
        <f t="shared" si="26"/>
        <v>193</v>
      </c>
      <c r="H196" s="80">
        <f t="shared" si="32"/>
        <v>3096.2000000000116</v>
      </c>
      <c r="I196" s="28"/>
      <c r="J196" s="86">
        <f t="shared" si="27"/>
        <v>193</v>
      </c>
      <c r="K196" s="80">
        <f t="shared" si="33"/>
        <v>3397.300000000012</v>
      </c>
      <c r="M196" s="4">
        <v>193</v>
      </c>
      <c r="N196" s="5">
        <f t="shared" si="34"/>
        <v>627.1</v>
      </c>
    </row>
    <row r="197" spans="1:14" ht="16.5">
      <c r="A197" s="86">
        <f t="shared" si="29"/>
        <v>194</v>
      </c>
      <c r="B197" s="80">
        <f t="shared" si="30"/>
        <v>2121</v>
      </c>
      <c r="C197" s="249"/>
      <c r="D197" s="86">
        <f t="shared" ref="D197:D260" si="35">D196+1</f>
        <v>194</v>
      </c>
      <c r="E197" s="80">
        <f t="shared" si="31"/>
        <v>2121</v>
      </c>
      <c r="G197" s="86">
        <f t="shared" si="26"/>
        <v>194</v>
      </c>
      <c r="H197" s="80">
        <f t="shared" si="32"/>
        <v>3111.6000000000117</v>
      </c>
      <c r="I197" s="28"/>
      <c r="J197" s="86">
        <f t="shared" si="27"/>
        <v>194</v>
      </c>
      <c r="K197" s="80">
        <f t="shared" si="33"/>
        <v>3414.2000000000121</v>
      </c>
      <c r="M197" s="4">
        <v>194</v>
      </c>
      <c r="N197" s="5">
        <f t="shared" si="34"/>
        <v>630.1</v>
      </c>
    </row>
    <row r="198" spans="1:14" ht="16.5">
      <c r="A198" s="86">
        <f t="shared" si="29"/>
        <v>195</v>
      </c>
      <c r="B198" s="80">
        <f t="shared" si="30"/>
        <v>2131.5</v>
      </c>
      <c r="C198" s="249"/>
      <c r="D198" s="86">
        <f t="shared" si="35"/>
        <v>195</v>
      </c>
      <c r="E198" s="80">
        <f t="shared" si="31"/>
        <v>2131.5</v>
      </c>
      <c r="G198" s="86">
        <f t="shared" ref="G198:G261" si="36">G197+1</f>
        <v>195</v>
      </c>
      <c r="H198" s="80">
        <f t="shared" si="32"/>
        <v>3127.0000000000118</v>
      </c>
      <c r="I198" s="28"/>
      <c r="J198" s="86">
        <f t="shared" ref="J198:J261" si="37">J197+1</f>
        <v>195</v>
      </c>
      <c r="K198" s="80">
        <f t="shared" si="33"/>
        <v>3431.1000000000122</v>
      </c>
      <c r="M198" s="4">
        <v>195</v>
      </c>
      <c r="N198" s="5">
        <f t="shared" si="34"/>
        <v>633.1</v>
      </c>
    </row>
    <row r="199" spans="1:14" ht="16.5">
      <c r="A199" s="86">
        <f t="shared" si="29"/>
        <v>196</v>
      </c>
      <c r="B199" s="80">
        <f t="shared" si="30"/>
        <v>2142</v>
      </c>
      <c r="C199" s="249"/>
      <c r="D199" s="86">
        <f t="shared" si="35"/>
        <v>196</v>
      </c>
      <c r="E199" s="80">
        <f t="shared" si="31"/>
        <v>2142</v>
      </c>
      <c r="G199" s="86">
        <f t="shared" si="36"/>
        <v>196</v>
      </c>
      <c r="H199" s="80">
        <f t="shared" si="32"/>
        <v>3142.4000000000119</v>
      </c>
      <c r="I199" s="28"/>
      <c r="J199" s="86">
        <f t="shared" si="37"/>
        <v>196</v>
      </c>
      <c r="K199" s="80">
        <f t="shared" si="33"/>
        <v>3448.0000000000123</v>
      </c>
      <c r="M199" s="4">
        <v>196</v>
      </c>
      <c r="N199" s="5">
        <f t="shared" si="34"/>
        <v>636.1</v>
      </c>
    </row>
    <row r="200" spans="1:14" ht="16.5">
      <c r="A200" s="86">
        <f t="shared" si="29"/>
        <v>197</v>
      </c>
      <c r="B200" s="80">
        <f t="shared" si="30"/>
        <v>2152.5</v>
      </c>
      <c r="C200" s="249"/>
      <c r="D200" s="86">
        <f t="shared" si="35"/>
        <v>197</v>
      </c>
      <c r="E200" s="80">
        <f t="shared" si="31"/>
        <v>2152.5</v>
      </c>
      <c r="G200" s="86">
        <f t="shared" si="36"/>
        <v>197</v>
      </c>
      <c r="H200" s="80">
        <f t="shared" si="32"/>
        <v>3157.800000000012</v>
      </c>
      <c r="I200" s="28"/>
      <c r="J200" s="86">
        <f t="shared" si="37"/>
        <v>197</v>
      </c>
      <c r="K200" s="80">
        <f t="shared" si="33"/>
        <v>3464.9000000000124</v>
      </c>
      <c r="M200" s="4">
        <v>197</v>
      </c>
      <c r="N200" s="5">
        <f t="shared" si="34"/>
        <v>639.1</v>
      </c>
    </row>
    <row r="201" spans="1:14" ht="16.5">
      <c r="A201" s="86">
        <f t="shared" si="29"/>
        <v>198</v>
      </c>
      <c r="B201" s="80">
        <f t="shared" si="30"/>
        <v>2163</v>
      </c>
      <c r="C201" s="249"/>
      <c r="D201" s="86">
        <f t="shared" si="35"/>
        <v>198</v>
      </c>
      <c r="E201" s="80">
        <f t="shared" si="31"/>
        <v>2163</v>
      </c>
      <c r="G201" s="86">
        <f t="shared" si="36"/>
        <v>198</v>
      </c>
      <c r="H201" s="80">
        <f t="shared" si="32"/>
        <v>3173.2000000000121</v>
      </c>
      <c r="I201" s="28"/>
      <c r="J201" s="86">
        <f t="shared" si="37"/>
        <v>198</v>
      </c>
      <c r="K201" s="80">
        <f t="shared" si="33"/>
        <v>3481.8000000000125</v>
      </c>
      <c r="M201" s="4">
        <v>198</v>
      </c>
      <c r="N201" s="5">
        <f t="shared" si="34"/>
        <v>642.1</v>
      </c>
    </row>
    <row r="202" spans="1:14" ht="16.5">
      <c r="A202" s="86">
        <f t="shared" si="29"/>
        <v>199</v>
      </c>
      <c r="B202" s="80">
        <f t="shared" si="30"/>
        <v>2173.5</v>
      </c>
      <c r="C202" s="249"/>
      <c r="D202" s="86">
        <f t="shared" si="35"/>
        <v>199</v>
      </c>
      <c r="E202" s="80">
        <f t="shared" si="31"/>
        <v>2173.5</v>
      </c>
      <c r="G202" s="86">
        <f t="shared" si="36"/>
        <v>199</v>
      </c>
      <c r="H202" s="80">
        <f t="shared" si="32"/>
        <v>3188.6000000000122</v>
      </c>
      <c r="I202" s="28"/>
      <c r="J202" s="86">
        <f t="shared" si="37"/>
        <v>199</v>
      </c>
      <c r="K202" s="80">
        <f t="shared" si="33"/>
        <v>3498.7000000000126</v>
      </c>
      <c r="M202" s="4">
        <v>199</v>
      </c>
      <c r="N202" s="5">
        <f t="shared" si="34"/>
        <v>645.1</v>
      </c>
    </row>
    <row r="203" spans="1:14" ht="16.5">
      <c r="A203" s="86">
        <f t="shared" si="29"/>
        <v>200</v>
      </c>
      <c r="B203" s="80">
        <f t="shared" si="30"/>
        <v>2184</v>
      </c>
      <c r="C203" s="249"/>
      <c r="D203" s="86">
        <f t="shared" si="35"/>
        <v>200</v>
      </c>
      <c r="E203" s="80">
        <f t="shared" si="31"/>
        <v>2184</v>
      </c>
      <c r="G203" s="86">
        <f t="shared" si="36"/>
        <v>200</v>
      </c>
      <c r="H203" s="80">
        <f t="shared" si="32"/>
        <v>3204.0000000000123</v>
      </c>
      <c r="I203" s="28"/>
      <c r="J203" s="86">
        <f t="shared" si="37"/>
        <v>200</v>
      </c>
      <c r="K203" s="80">
        <f t="shared" si="33"/>
        <v>3515.6000000000126</v>
      </c>
      <c r="M203" s="4">
        <v>200</v>
      </c>
      <c r="N203" s="5">
        <f t="shared" si="34"/>
        <v>648.1</v>
      </c>
    </row>
    <row r="204" spans="1:14" ht="16.5">
      <c r="A204" s="86">
        <f t="shared" si="29"/>
        <v>201</v>
      </c>
      <c r="B204" s="80">
        <f t="shared" si="30"/>
        <v>2194.5</v>
      </c>
      <c r="C204" s="249"/>
      <c r="D204" s="86">
        <f t="shared" si="35"/>
        <v>201</v>
      </c>
      <c r="E204" s="80">
        <f t="shared" si="31"/>
        <v>2194.5</v>
      </c>
      <c r="G204" s="86">
        <f t="shared" si="36"/>
        <v>201</v>
      </c>
      <c r="H204" s="80">
        <f t="shared" si="32"/>
        <v>3219.4000000000124</v>
      </c>
      <c r="I204" s="28"/>
      <c r="J204" s="86">
        <f t="shared" si="37"/>
        <v>201</v>
      </c>
      <c r="K204" s="80">
        <f t="shared" si="33"/>
        <v>3532.5000000000127</v>
      </c>
      <c r="M204" s="4">
        <v>200</v>
      </c>
      <c r="N204" s="5">
        <f t="shared" ref="N204:N267" si="38">N203+3</f>
        <v>651.1</v>
      </c>
    </row>
    <row r="205" spans="1:14" ht="16.5">
      <c r="A205" s="86">
        <f t="shared" si="29"/>
        <v>202</v>
      </c>
      <c r="B205" s="80">
        <f t="shared" si="30"/>
        <v>2205</v>
      </c>
      <c r="C205" s="249"/>
      <c r="D205" s="86">
        <f t="shared" si="35"/>
        <v>202</v>
      </c>
      <c r="E205" s="80">
        <f t="shared" si="31"/>
        <v>2205</v>
      </c>
      <c r="G205" s="86">
        <f t="shared" si="36"/>
        <v>202</v>
      </c>
      <c r="H205" s="80">
        <f t="shared" si="32"/>
        <v>3234.8000000000125</v>
      </c>
      <c r="I205" s="28"/>
      <c r="J205" s="86">
        <f t="shared" si="37"/>
        <v>202</v>
      </c>
      <c r="K205" s="80">
        <f t="shared" si="33"/>
        <v>3549.4000000000128</v>
      </c>
      <c r="M205" s="4">
        <v>200</v>
      </c>
      <c r="N205" s="5">
        <f t="shared" si="38"/>
        <v>654.1</v>
      </c>
    </row>
    <row r="206" spans="1:14" ht="16.5">
      <c r="A206" s="86">
        <f t="shared" si="29"/>
        <v>203</v>
      </c>
      <c r="B206" s="80">
        <f t="shared" si="30"/>
        <v>2215.5</v>
      </c>
      <c r="C206" s="249"/>
      <c r="D206" s="86">
        <f t="shared" si="35"/>
        <v>203</v>
      </c>
      <c r="E206" s="80">
        <f t="shared" si="31"/>
        <v>2215.5</v>
      </c>
      <c r="G206" s="86">
        <f t="shared" si="36"/>
        <v>203</v>
      </c>
      <c r="H206" s="80">
        <f t="shared" si="32"/>
        <v>3250.2000000000126</v>
      </c>
      <c r="I206" s="28"/>
      <c r="J206" s="86">
        <f t="shared" si="37"/>
        <v>203</v>
      </c>
      <c r="K206" s="80">
        <f t="shared" si="33"/>
        <v>3566.3000000000129</v>
      </c>
      <c r="M206" s="4">
        <v>200</v>
      </c>
      <c r="N206" s="5">
        <f t="shared" si="38"/>
        <v>657.1</v>
      </c>
    </row>
    <row r="207" spans="1:14" ht="16.5">
      <c r="A207" s="86">
        <f t="shared" si="29"/>
        <v>204</v>
      </c>
      <c r="B207" s="80">
        <f t="shared" si="30"/>
        <v>2226</v>
      </c>
      <c r="C207" s="249"/>
      <c r="D207" s="86">
        <f t="shared" si="35"/>
        <v>204</v>
      </c>
      <c r="E207" s="80">
        <f t="shared" si="31"/>
        <v>2226</v>
      </c>
      <c r="G207" s="86">
        <f t="shared" si="36"/>
        <v>204</v>
      </c>
      <c r="H207" s="80">
        <f t="shared" si="32"/>
        <v>3265.6000000000126</v>
      </c>
      <c r="I207" s="28"/>
      <c r="J207" s="86">
        <f t="shared" si="37"/>
        <v>204</v>
      </c>
      <c r="K207" s="80">
        <f t="shared" si="33"/>
        <v>3583.200000000013</v>
      </c>
      <c r="M207" s="4">
        <v>200</v>
      </c>
      <c r="N207" s="5">
        <f t="shared" si="38"/>
        <v>660.1</v>
      </c>
    </row>
    <row r="208" spans="1:14" ht="16.5">
      <c r="A208" s="86">
        <f t="shared" si="29"/>
        <v>205</v>
      </c>
      <c r="B208" s="80">
        <f t="shared" si="30"/>
        <v>2236.5</v>
      </c>
      <c r="C208" s="249"/>
      <c r="D208" s="86">
        <f t="shared" si="35"/>
        <v>205</v>
      </c>
      <c r="E208" s="80">
        <f t="shared" si="31"/>
        <v>2236.5</v>
      </c>
      <c r="G208" s="86">
        <f t="shared" si="36"/>
        <v>205</v>
      </c>
      <c r="H208" s="80">
        <f t="shared" si="32"/>
        <v>3281.0000000000127</v>
      </c>
      <c r="I208" s="28"/>
      <c r="J208" s="86">
        <f t="shared" si="37"/>
        <v>205</v>
      </c>
      <c r="K208" s="80">
        <f t="shared" si="33"/>
        <v>3600.1000000000131</v>
      </c>
      <c r="M208" s="4">
        <v>200</v>
      </c>
      <c r="N208" s="5">
        <f t="shared" si="38"/>
        <v>663.1</v>
      </c>
    </row>
    <row r="209" spans="1:14" ht="16.5">
      <c r="A209" s="86">
        <f t="shared" si="29"/>
        <v>206</v>
      </c>
      <c r="B209" s="80">
        <f t="shared" si="30"/>
        <v>2247</v>
      </c>
      <c r="C209" s="249"/>
      <c r="D209" s="86">
        <f t="shared" si="35"/>
        <v>206</v>
      </c>
      <c r="E209" s="80">
        <f t="shared" si="31"/>
        <v>2247</v>
      </c>
      <c r="G209" s="86">
        <f t="shared" si="36"/>
        <v>206</v>
      </c>
      <c r="H209" s="80">
        <f t="shared" si="32"/>
        <v>3296.4000000000128</v>
      </c>
      <c r="I209" s="28"/>
      <c r="J209" s="86">
        <f t="shared" si="37"/>
        <v>206</v>
      </c>
      <c r="K209" s="80">
        <f t="shared" si="33"/>
        <v>3617.0000000000132</v>
      </c>
      <c r="M209" s="4">
        <v>200</v>
      </c>
      <c r="N209" s="5">
        <f t="shared" si="38"/>
        <v>666.1</v>
      </c>
    </row>
    <row r="210" spans="1:14" ht="16.5">
      <c r="A210" s="86">
        <f t="shared" si="29"/>
        <v>207</v>
      </c>
      <c r="B210" s="80">
        <f t="shared" si="30"/>
        <v>2257.5</v>
      </c>
      <c r="C210" s="249"/>
      <c r="D210" s="86">
        <f t="shared" si="35"/>
        <v>207</v>
      </c>
      <c r="E210" s="80">
        <f t="shared" si="31"/>
        <v>2257.5</v>
      </c>
      <c r="G210" s="86">
        <f t="shared" si="36"/>
        <v>207</v>
      </c>
      <c r="H210" s="80">
        <f t="shared" si="32"/>
        <v>3311.8000000000129</v>
      </c>
      <c r="I210" s="28"/>
      <c r="J210" s="86">
        <f t="shared" si="37"/>
        <v>207</v>
      </c>
      <c r="K210" s="80">
        <f t="shared" si="33"/>
        <v>3633.9000000000133</v>
      </c>
      <c r="M210" s="4">
        <v>200</v>
      </c>
      <c r="N210" s="5">
        <f t="shared" si="38"/>
        <v>669.1</v>
      </c>
    </row>
    <row r="211" spans="1:14" ht="16.5">
      <c r="A211" s="86">
        <f t="shared" si="29"/>
        <v>208</v>
      </c>
      <c r="B211" s="80">
        <f t="shared" si="30"/>
        <v>2268</v>
      </c>
      <c r="C211" s="249"/>
      <c r="D211" s="86">
        <f t="shared" si="35"/>
        <v>208</v>
      </c>
      <c r="E211" s="80">
        <f t="shared" si="31"/>
        <v>2268</v>
      </c>
      <c r="G211" s="86">
        <f t="shared" si="36"/>
        <v>208</v>
      </c>
      <c r="H211" s="80">
        <f t="shared" si="32"/>
        <v>3327.200000000013</v>
      </c>
      <c r="I211" s="28"/>
      <c r="J211" s="86">
        <f t="shared" si="37"/>
        <v>208</v>
      </c>
      <c r="K211" s="80">
        <f t="shared" si="33"/>
        <v>3650.8000000000134</v>
      </c>
      <c r="M211" s="4">
        <v>200</v>
      </c>
      <c r="N211" s="5">
        <f t="shared" si="38"/>
        <v>672.1</v>
      </c>
    </row>
    <row r="212" spans="1:14" ht="16.5">
      <c r="A212" s="86">
        <f t="shared" si="29"/>
        <v>209</v>
      </c>
      <c r="B212" s="80">
        <f t="shared" si="30"/>
        <v>2278.5</v>
      </c>
      <c r="C212" s="249"/>
      <c r="D212" s="86">
        <f t="shared" si="35"/>
        <v>209</v>
      </c>
      <c r="E212" s="80">
        <f t="shared" si="31"/>
        <v>2278.5</v>
      </c>
      <c r="G212" s="86">
        <f t="shared" si="36"/>
        <v>209</v>
      </c>
      <c r="H212" s="80">
        <f t="shared" si="32"/>
        <v>3342.6000000000131</v>
      </c>
      <c r="I212" s="28"/>
      <c r="J212" s="86">
        <f t="shared" si="37"/>
        <v>209</v>
      </c>
      <c r="K212" s="80">
        <f t="shared" si="33"/>
        <v>3667.7000000000135</v>
      </c>
      <c r="M212" s="4">
        <v>200</v>
      </c>
      <c r="N212" s="5">
        <f t="shared" si="38"/>
        <v>675.1</v>
      </c>
    </row>
    <row r="213" spans="1:14" ht="16.5">
      <c r="A213" s="86">
        <f t="shared" si="29"/>
        <v>210</v>
      </c>
      <c r="B213" s="80">
        <f t="shared" si="30"/>
        <v>2289</v>
      </c>
      <c r="C213" s="249"/>
      <c r="D213" s="86">
        <f t="shared" si="35"/>
        <v>210</v>
      </c>
      <c r="E213" s="80">
        <f t="shared" si="31"/>
        <v>2289</v>
      </c>
      <c r="G213" s="86">
        <f t="shared" si="36"/>
        <v>210</v>
      </c>
      <c r="H213" s="80">
        <f t="shared" si="32"/>
        <v>3358.0000000000132</v>
      </c>
      <c r="I213" s="28"/>
      <c r="J213" s="86">
        <f t="shared" si="37"/>
        <v>210</v>
      </c>
      <c r="K213" s="80">
        <f t="shared" si="33"/>
        <v>3684.6000000000136</v>
      </c>
      <c r="M213" s="4">
        <v>200</v>
      </c>
      <c r="N213" s="5">
        <f t="shared" si="38"/>
        <v>678.1</v>
      </c>
    </row>
    <row r="214" spans="1:14" ht="16.5">
      <c r="A214" s="86">
        <f t="shared" si="29"/>
        <v>211</v>
      </c>
      <c r="B214" s="80">
        <f t="shared" si="30"/>
        <v>2299.5</v>
      </c>
      <c r="C214" s="249"/>
      <c r="D214" s="86">
        <f t="shared" si="35"/>
        <v>211</v>
      </c>
      <c r="E214" s="80">
        <f t="shared" si="31"/>
        <v>2299.5</v>
      </c>
      <c r="G214" s="86">
        <f t="shared" si="36"/>
        <v>211</v>
      </c>
      <c r="H214" s="80">
        <f t="shared" si="32"/>
        <v>3373.4000000000133</v>
      </c>
      <c r="I214" s="28"/>
      <c r="J214" s="86">
        <f t="shared" si="37"/>
        <v>211</v>
      </c>
      <c r="K214" s="80">
        <f t="shared" si="33"/>
        <v>3701.5000000000136</v>
      </c>
      <c r="M214" s="4">
        <v>200</v>
      </c>
      <c r="N214" s="5">
        <f t="shared" si="38"/>
        <v>681.1</v>
      </c>
    </row>
    <row r="215" spans="1:14" ht="16.5">
      <c r="A215" s="86">
        <f t="shared" si="29"/>
        <v>212</v>
      </c>
      <c r="B215" s="80">
        <f t="shared" si="30"/>
        <v>2310</v>
      </c>
      <c r="C215" s="249"/>
      <c r="D215" s="86">
        <f t="shared" si="35"/>
        <v>212</v>
      </c>
      <c r="E215" s="80">
        <f t="shared" si="31"/>
        <v>2310</v>
      </c>
      <c r="G215" s="86">
        <f t="shared" si="36"/>
        <v>212</v>
      </c>
      <c r="H215" s="80">
        <f t="shared" si="32"/>
        <v>3388.8000000000134</v>
      </c>
      <c r="I215" s="28"/>
      <c r="J215" s="86">
        <f t="shared" si="37"/>
        <v>212</v>
      </c>
      <c r="K215" s="80">
        <f t="shared" si="33"/>
        <v>3718.4000000000137</v>
      </c>
      <c r="M215" s="4">
        <v>200</v>
      </c>
      <c r="N215" s="5">
        <f t="shared" si="38"/>
        <v>684.1</v>
      </c>
    </row>
    <row r="216" spans="1:14" ht="16.5">
      <c r="A216" s="86">
        <f t="shared" si="29"/>
        <v>213</v>
      </c>
      <c r="B216" s="80">
        <f t="shared" si="30"/>
        <v>2320.5</v>
      </c>
      <c r="C216" s="249"/>
      <c r="D216" s="86">
        <f t="shared" si="35"/>
        <v>213</v>
      </c>
      <c r="E216" s="80">
        <f t="shared" si="31"/>
        <v>2320.5</v>
      </c>
      <c r="G216" s="86">
        <f t="shared" si="36"/>
        <v>213</v>
      </c>
      <c r="H216" s="80">
        <f t="shared" si="32"/>
        <v>3404.2000000000135</v>
      </c>
      <c r="I216" s="28"/>
      <c r="J216" s="86">
        <f t="shared" si="37"/>
        <v>213</v>
      </c>
      <c r="K216" s="80">
        <f t="shared" si="33"/>
        <v>3735.3000000000138</v>
      </c>
      <c r="M216" s="4">
        <v>200</v>
      </c>
      <c r="N216" s="5">
        <f t="shared" si="38"/>
        <v>687.1</v>
      </c>
    </row>
    <row r="217" spans="1:14" ht="16.5">
      <c r="A217" s="86">
        <f t="shared" si="29"/>
        <v>214</v>
      </c>
      <c r="B217" s="80">
        <f t="shared" si="30"/>
        <v>2331</v>
      </c>
      <c r="C217" s="249"/>
      <c r="D217" s="86">
        <f t="shared" si="35"/>
        <v>214</v>
      </c>
      <c r="E217" s="80">
        <f t="shared" si="31"/>
        <v>2331</v>
      </c>
      <c r="G217" s="86">
        <f t="shared" si="36"/>
        <v>214</v>
      </c>
      <c r="H217" s="80">
        <f t="shared" si="32"/>
        <v>3419.6000000000136</v>
      </c>
      <c r="I217" s="28"/>
      <c r="J217" s="86">
        <f t="shared" si="37"/>
        <v>214</v>
      </c>
      <c r="K217" s="80">
        <f t="shared" si="33"/>
        <v>3752.2000000000139</v>
      </c>
      <c r="M217" s="4">
        <v>200</v>
      </c>
      <c r="N217" s="5">
        <f t="shared" si="38"/>
        <v>690.1</v>
      </c>
    </row>
    <row r="218" spans="1:14" ht="16.5">
      <c r="A218" s="86">
        <f t="shared" si="29"/>
        <v>215</v>
      </c>
      <c r="B218" s="80">
        <f t="shared" si="30"/>
        <v>2341.5</v>
      </c>
      <c r="C218" s="249"/>
      <c r="D218" s="86">
        <f t="shared" si="35"/>
        <v>215</v>
      </c>
      <c r="E218" s="80">
        <f t="shared" si="31"/>
        <v>2341.5</v>
      </c>
      <c r="G218" s="86">
        <f t="shared" si="36"/>
        <v>215</v>
      </c>
      <c r="H218" s="80">
        <f t="shared" si="32"/>
        <v>3435.0000000000136</v>
      </c>
      <c r="I218" s="28"/>
      <c r="J218" s="86">
        <f t="shared" si="37"/>
        <v>215</v>
      </c>
      <c r="K218" s="80">
        <f t="shared" si="33"/>
        <v>3769.100000000014</v>
      </c>
      <c r="M218" s="4">
        <v>200</v>
      </c>
      <c r="N218" s="5">
        <f t="shared" si="38"/>
        <v>693.1</v>
      </c>
    </row>
    <row r="219" spans="1:14" ht="16.5">
      <c r="A219" s="86">
        <f t="shared" si="29"/>
        <v>216</v>
      </c>
      <c r="B219" s="80">
        <f t="shared" si="30"/>
        <v>2352</v>
      </c>
      <c r="C219" s="249"/>
      <c r="D219" s="86">
        <f t="shared" si="35"/>
        <v>216</v>
      </c>
      <c r="E219" s="80">
        <f t="shared" si="31"/>
        <v>2352</v>
      </c>
      <c r="G219" s="86">
        <f t="shared" si="36"/>
        <v>216</v>
      </c>
      <c r="H219" s="80">
        <f t="shared" si="32"/>
        <v>3450.4000000000137</v>
      </c>
      <c r="I219" s="28"/>
      <c r="J219" s="86">
        <f t="shared" si="37"/>
        <v>216</v>
      </c>
      <c r="K219" s="80">
        <f t="shared" si="33"/>
        <v>3786.0000000000141</v>
      </c>
      <c r="M219" s="4">
        <v>200</v>
      </c>
      <c r="N219" s="5">
        <f t="shared" si="38"/>
        <v>696.1</v>
      </c>
    </row>
    <row r="220" spans="1:14" ht="16.5">
      <c r="A220" s="86">
        <f t="shared" si="29"/>
        <v>217</v>
      </c>
      <c r="B220" s="80">
        <f t="shared" si="30"/>
        <v>2362.5</v>
      </c>
      <c r="C220" s="249"/>
      <c r="D220" s="86">
        <f t="shared" si="35"/>
        <v>217</v>
      </c>
      <c r="E220" s="80">
        <f t="shared" si="31"/>
        <v>2362.5</v>
      </c>
      <c r="G220" s="86">
        <f t="shared" si="36"/>
        <v>217</v>
      </c>
      <c r="H220" s="80">
        <f t="shared" si="32"/>
        <v>3465.8000000000138</v>
      </c>
      <c r="I220" s="28"/>
      <c r="J220" s="86">
        <f t="shared" si="37"/>
        <v>217</v>
      </c>
      <c r="K220" s="80">
        <f t="shared" si="33"/>
        <v>3802.9000000000142</v>
      </c>
      <c r="M220" s="4">
        <v>200</v>
      </c>
      <c r="N220" s="5">
        <f t="shared" si="38"/>
        <v>699.1</v>
      </c>
    </row>
    <row r="221" spans="1:14" ht="16.5">
      <c r="A221" s="86">
        <f t="shared" si="29"/>
        <v>218</v>
      </c>
      <c r="B221" s="80">
        <f t="shared" si="30"/>
        <v>2373</v>
      </c>
      <c r="C221" s="249"/>
      <c r="D221" s="86">
        <f t="shared" si="35"/>
        <v>218</v>
      </c>
      <c r="E221" s="80">
        <f t="shared" si="31"/>
        <v>2373</v>
      </c>
      <c r="G221" s="86">
        <f t="shared" si="36"/>
        <v>218</v>
      </c>
      <c r="H221" s="80">
        <f t="shared" si="32"/>
        <v>3481.2000000000139</v>
      </c>
      <c r="I221" s="28"/>
      <c r="J221" s="86">
        <f t="shared" si="37"/>
        <v>218</v>
      </c>
      <c r="K221" s="80">
        <f t="shared" si="33"/>
        <v>3819.8000000000143</v>
      </c>
      <c r="M221" s="4">
        <v>200</v>
      </c>
      <c r="N221" s="5">
        <f t="shared" si="38"/>
        <v>702.1</v>
      </c>
    </row>
    <row r="222" spans="1:14" ht="16.5">
      <c r="A222" s="86">
        <f t="shared" si="29"/>
        <v>219</v>
      </c>
      <c r="B222" s="80">
        <f t="shared" si="30"/>
        <v>2383.5</v>
      </c>
      <c r="C222" s="249"/>
      <c r="D222" s="86">
        <f t="shared" si="35"/>
        <v>219</v>
      </c>
      <c r="E222" s="80">
        <f t="shared" si="31"/>
        <v>2383.5</v>
      </c>
      <c r="G222" s="86">
        <f t="shared" si="36"/>
        <v>219</v>
      </c>
      <c r="H222" s="80">
        <f t="shared" si="32"/>
        <v>3496.600000000014</v>
      </c>
      <c r="I222" s="28"/>
      <c r="J222" s="86">
        <f t="shared" si="37"/>
        <v>219</v>
      </c>
      <c r="K222" s="80">
        <f t="shared" si="33"/>
        <v>3836.7000000000144</v>
      </c>
      <c r="M222" s="4">
        <v>200</v>
      </c>
      <c r="N222" s="5">
        <f t="shared" si="38"/>
        <v>705.1</v>
      </c>
    </row>
    <row r="223" spans="1:14" ht="16.5">
      <c r="A223" s="86">
        <f t="shared" si="29"/>
        <v>220</v>
      </c>
      <c r="B223" s="80">
        <f t="shared" si="30"/>
        <v>2394</v>
      </c>
      <c r="C223" s="249"/>
      <c r="D223" s="86">
        <f t="shared" si="35"/>
        <v>220</v>
      </c>
      <c r="E223" s="80">
        <f t="shared" si="31"/>
        <v>2394</v>
      </c>
      <c r="G223" s="86">
        <f t="shared" si="36"/>
        <v>220</v>
      </c>
      <c r="H223" s="80">
        <f t="shared" si="32"/>
        <v>3512.0000000000141</v>
      </c>
      <c r="I223" s="28"/>
      <c r="J223" s="86">
        <f t="shared" si="37"/>
        <v>220</v>
      </c>
      <c r="K223" s="80">
        <f t="shared" si="33"/>
        <v>3853.6000000000145</v>
      </c>
      <c r="M223" s="4">
        <v>200</v>
      </c>
      <c r="N223" s="5">
        <f t="shared" si="38"/>
        <v>708.1</v>
      </c>
    </row>
    <row r="224" spans="1:14" ht="16.5">
      <c r="A224" s="86">
        <f t="shared" si="29"/>
        <v>221</v>
      </c>
      <c r="B224" s="80">
        <f t="shared" si="30"/>
        <v>2404.5</v>
      </c>
      <c r="C224" s="249"/>
      <c r="D224" s="86">
        <f t="shared" si="35"/>
        <v>221</v>
      </c>
      <c r="E224" s="80">
        <f t="shared" si="31"/>
        <v>2404.5</v>
      </c>
      <c r="G224" s="86">
        <f t="shared" si="36"/>
        <v>221</v>
      </c>
      <c r="H224" s="80">
        <f t="shared" si="32"/>
        <v>3527.4000000000142</v>
      </c>
      <c r="I224" s="28"/>
      <c r="J224" s="86">
        <f t="shared" si="37"/>
        <v>221</v>
      </c>
      <c r="K224" s="80">
        <f t="shared" si="33"/>
        <v>3870.5000000000146</v>
      </c>
      <c r="M224" s="4">
        <v>200</v>
      </c>
      <c r="N224" s="5">
        <f t="shared" si="38"/>
        <v>711.1</v>
      </c>
    </row>
    <row r="225" spans="1:14" ht="16.5">
      <c r="A225" s="86">
        <f t="shared" si="29"/>
        <v>222</v>
      </c>
      <c r="B225" s="80">
        <f t="shared" si="30"/>
        <v>2415</v>
      </c>
      <c r="C225" s="249"/>
      <c r="D225" s="86">
        <f t="shared" si="35"/>
        <v>222</v>
      </c>
      <c r="E225" s="80">
        <f t="shared" si="31"/>
        <v>2415</v>
      </c>
      <c r="G225" s="86">
        <f t="shared" si="36"/>
        <v>222</v>
      </c>
      <c r="H225" s="80">
        <f t="shared" si="32"/>
        <v>3542.8000000000143</v>
      </c>
      <c r="I225" s="28"/>
      <c r="J225" s="86">
        <f t="shared" si="37"/>
        <v>222</v>
      </c>
      <c r="K225" s="80">
        <f t="shared" si="33"/>
        <v>3887.4000000000146</v>
      </c>
      <c r="M225" s="4">
        <v>200</v>
      </c>
      <c r="N225" s="5">
        <f t="shared" si="38"/>
        <v>714.1</v>
      </c>
    </row>
    <row r="226" spans="1:14" ht="16.5">
      <c r="A226" s="86">
        <f t="shared" si="29"/>
        <v>223</v>
      </c>
      <c r="B226" s="80">
        <f t="shared" si="30"/>
        <v>2425.5</v>
      </c>
      <c r="C226" s="249"/>
      <c r="D226" s="86">
        <f t="shared" si="35"/>
        <v>223</v>
      </c>
      <c r="E226" s="80">
        <f t="shared" si="31"/>
        <v>2425.5</v>
      </c>
      <c r="G226" s="86">
        <f t="shared" si="36"/>
        <v>223</v>
      </c>
      <c r="H226" s="80">
        <f t="shared" si="32"/>
        <v>3558.2000000000144</v>
      </c>
      <c r="I226" s="28"/>
      <c r="J226" s="86">
        <f t="shared" si="37"/>
        <v>223</v>
      </c>
      <c r="K226" s="80">
        <f t="shared" si="33"/>
        <v>3904.3000000000147</v>
      </c>
      <c r="M226" s="4">
        <v>200</v>
      </c>
      <c r="N226" s="5">
        <f t="shared" si="38"/>
        <v>717.1</v>
      </c>
    </row>
    <row r="227" spans="1:14" ht="16.5">
      <c r="A227" s="86">
        <f t="shared" ref="A227:A290" si="39">A226+1</f>
        <v>224</v>
      </c>
      <c r="B227" s="80">
        <f t="shared" ref="B227:B290" si="40">B226+10.5</f>
        <v>2436</v>
      </c>
      <c r="C227" s="249"/>
      <c r="D227" s="86">
        <f t="shared" si="35"/>
        <v>224</v>
      </c>
      <c r="E227" s="80">
        <f t="shared" ref="E227:E290" si="41">E226+10.5</f>
        <v>2436</v>
      </c>
      <c r="G227" s="86">
        <f t="shared" si="36"/>
        <v>224</v>
      </c>
      <c r="H227" s="80">
        <f t="shared" ref="H227:H290" si="42">H226+15.4</f>
        <v>3573.6000000000145</v>
      </c>
      <c r="I227" s="28"/>
      <c r="J227" s="86">
        <f t="shared" si="37"/>
        <v>224</v>
      </c>
      <c r="K227" s="80">
        <f t="shared" ref="K227:K290" si="43">K226+16.9</f>
        <v>3921.2000000000148</v>
      </c>
      <c r="M227" s="4">
        <v>200</v>
      </c>
      <c r="N227" s="5">
        <f t="shared" si="38"/>
        <v>720.1</v>
      </c>
    </row>
    <row r="228" spans="1:14" ht="16.5">
      <c r="A228" s="86">
        <f t="shared" si="39"/>
        <v>225</v>
      </c>
      <c r="B228" s="80">
        <f t="shared" si="40"/>
        <v>2446.5</v>
      </c>
      <c r="C228" s="249"/>
      <c r="D228" s="86">
        <f t="shared" si="35"/>
        <v>225</v>
      </c>
      <c r="E228" s="80">
        <f t="shared" si="41"/>
        <v>2446.5</v>
      </c>
      <c r="G228" s="86">
        <f t="shared" si="36"/>
        <v>225</v>
      </c>
      <c r="H228" s="80">
        <f t="shared" si="42"/>
        <v>3589.0000000000146</v>
      </c>
      <c r="I228" s="28"/>
      <c r="J228" s="86">
        <f t="shared" si="37"/>
        <v>225</v>
      </c>
      <c r="K228" s="80">
        <f t="shared" si="43"/>
        <v>3938.1000000000149</v>
      </c>
      <c r="M228" s="4">
        <v>200</v>
      </c>
      <c r="N228" s="5">
        <f t="shared" si="38"/>
        <v>723.1</v>
      </c>
    </row>
    <row r="229" spans="1:14" ht="16.5">
      <c r="A229" s="86">
        <f t="shared" si="39"/>
        <v>226</v>
      </c>
      <c r="B229" s="80">
        <f t="shared" si="40"/>
        <v>2457</v>
      </c>
      <c r="C229" s="249"/>
      <c r="D229" s="86">
        <f t="shared" si="35"/>
        <v>226</v>
      </c>
      <c r="E229" s="80">
        <f t="shared" si="41"/>
        <v>2457</v>
      </c>
      <c r="G229" s="86">
        <f t="shared" si="36"/>
        <v>226</v>
      </c>
      <c r="H229" s="80">
        <f t="shared" si="42"/>
        <v>3604.4000000000146</v>
      </c>
      <c r="I229" s="28"/>
      <c r="J229" s="86">
        <f t="shared" si="37"/>
        <v>226</v>
      </c>
      <c r="K229" s="80">
        <f t="shared" si="43"/>
        <v>3955.000000000015</v>
      </c>
      <c r="M229" s="4">
        <v>200</v>
      </c>
      <c r="N229" s="5">
        <f t="shared" si="38"/>
        <v>726.1</v>
      </c>
    </row>
    <row r="230" spans="1:14" ht="16.5">
      <c r="A230" s="86">
        <f t="shared" si="39"/>
        <v>227</v>
      </c>
      <c r="B230" s="80">
        <f t="shared" si="40"/>
        <v>2467.5</v>
      </c>
      <c r="C230" s="249"/>
      <c r="D230" s="86">
        <f t="shared" si="35"/>
        <v>227</v>
      </c>
      <c r="E230" s="80">
        <f t="shared" si="41"/>
        <v>2467.5</v>
      </c>
      <c r="G230" s="86">
        <f t="shared" si="36"/>
        <v>227</v>
      </c>
      <c r="H230" s="80">
        <f t="shared" si="42"/>
        <v>3619.8000000000147</v>
      </c>
      <c r="I230" s="28"/>
      <c r="J230" s="86">
        <f t="shared" si="37"/>
        <v>227</v>
      </c>
      <c r="K230" s="80">
        <f t="shared" si="43"/>
        <v>3971.9000000000151</v>
      </c>
      <c r="M230" s="4">
        <v>200</v>
      </c>
      <c r="N230" s="5">
        <f t="shared" si="38"/>
        <v>729.1</v>
      </c>
    </row>
    <row r="231" spans="1:14" ht="16.5">
      <c r="A231" s="86">
        <f t="shared" si="39"/>
        <v>228</v>
      </c>
      <c r="B231" s="80">
        <f t="shared" si="40"/>
        <v>2478</v>
      </c>
      <c r="C231" s="249"/>
      <c r="D231" s="86">
        <f t="shared" si="35"/>
        <v>228</v>
      </c>
      <c r="E231" s="80">
        <f t="shared" si="41"/>
        <v>2478</v>
      </c>
      <c r="G231" s="86">
        <f t="shared" si="36"/>
        <v>228</v>
      </c>
      <c r="H231" s="80">
        <f t="shared" si="42"/>
        <v>3635.2000000000148</v>
      </c>
      <c r="I231" s="28"/>
      <c r="J231" s="86">
        <f t="shared" si="37"/>
        <v>228</v>
      </c>
      <c r="K231" s="80">
        <f t="shared" si="43"/>
        <v>3988.8000000000152</v>
      </c>
      <c r="M231" s="4">
        <v>200</v>
      </c>
      <c r="N231" s="5">
        <f t="shared" si="38"/>
        <v>732.1</v>
      </c>
    </row>
    <row r="232" spans="1:14" ht="16.5">
      <c r="A232" s="86">
        <f t="shared" si="39"/>
        <v>229</v>
      </c>
      <c r="B232" s="80">
        <f t="shared" si="40"/>
        <v>2488.5</v>
      </c>
      <c r="C232" s="249"/>
      <c r="D232" s="86">
        <f t="shared" si="35"/>
        <v>229</v>
      </c>
      <c r="E232" s="80">
        <f t="shared" si="41"/>
        <v>2488.5</v>
      </c>
      <c r="G232" s="86">
        <f t="shared" si="36"/>
        <v>229</v>
      </c>
      <c r="H232" s="80">
        <f t="shared" si="42"/>
        <v>3650.6000000000149</v>
      </c>
      <c r="I232" s="28"/>
      <c r="J232" s="86">
        <f t="shared" si="37"/>
        <v>229</v>
      </c>
      <c r="K232" s="80">
        <f t="shared" si="43"/>
        <v>4005.7000000000153</v>
      </c>
      <c r="M232" s="4">
        <v>200</v>
      </c>
      <c r="N232" s="5">
        <f t="shared" si="38"/>
        <v>735.1</v>
      </c>
    </row>
    <row r="233" spans="1:14" ht="16.5">
      <c r="A233" s="86">
        <f t="shared" si="39"/>
        <v>230</v>
      </c>
      <c r="B233" s="80">
        <f t="shared" si="40"/>
        <v>2499</v>
      </c>
      <c r="C233" s="249"/>
      <c r="D233" s="86">
        <f t="shared" si="35"/>
        <v>230</v>
      </c>
      <c r="E233" s="80">
        <f t="shared" si="41"/>
        <v>2499</v>
      </c>
      <c r="G233" s="86">
        <f t="shared" si="36"/>
        <v>230</v>
      </c>
      <c r="H233" s="80">
        <f t="shared" si="42"/>
        <v>3666.000000000015</v>
      </c>
      <c r="I233" s="28"/>
      <c r="J233" s="86">
        <f t="shared" si="37"/>
        <v>230</v>
      </c>
      <c r="K233" s="80">
        <f t="shared" si="43"/>
        <v>4022.6000000000154</v>
      </c>
      <c r="M233" s="4">
        <v>200</v>
      </c>
      <c r="N233" s="5">
        <f t="shared" si="38"/>
        <v>738.1</v>
      </c>
    </row>
    <row r="234" spans="1:14" ht="16.5">
      <c r="A234" s="86">
        <f t="shared" si="39"/>
        <v>231</v>
      </c>
      <c r="B234" s="80">
        <f t="shared" si="40"/>
        <v>2509.5</v>
      </c>
      <c r="C234" s="249"/>
      <c r="D234" s="86">
        <f t="shared" si="35"/>
        <v>231</v>
      </c>
      <c r="E234" s="80">
        <f t="shared" si="41"/>
        <v>2509.5</v>
      </c>
      <c r="G234" s="86">
        <f t="shared" si="36"/>
        <v>231</v>
      </c>
      <c r="H234" s="80">
        <f t="shared" si="42"/>
        <v>3681.4000000000151</v>
      </c>
      <c r="I234" s="28"/>
      <c r="J234" s="86">
        <f t="shared" si="37"/>
        <v>231</v>
      </c>
      <c r="K234" s="80">
        <f t="shared" si="43"/>
        <v>4039.5000000000155</v>
      </c>
      <c r="M234" s="4">
        <v>200</v>
      </c>
      <c r="N234" s="5">
        <f t="shared" si="38"/>
        <v>741.1</v>
      </c>
    </row>
    <row r="235" spans="1:14" ht="16.5">
      <c r="A235" s="86">
        <f t="shared" si="39"/>
        <v>232</v>
      </c>
      <c r="B235" s="80">
        <f t="shared" si="40"/>
        <v>2520</v>
      </c>
      <c r="C235" s="249"/>
      <c r="D235" s="86">
        <f t="shared" si="35"/>
        <v>232</v>
      </c>
      <c r="E235" s="80">
        <f t="shared" si="41"/>
        <v>2520</v>
      </c>
      <c r="G235" s="86">
        <f t="shared" si="36"/>
        <v>232</v>
      </c>
      <c r="H235" s="80">
        <f t="shared" si="42"/>
        <v>3696.8000000000152</v>
      </c>
      <c r="I235" s="28"/>
      <c r="J235" s="86">
        <f t="shared" si="37"/>
        <v>232</v>
      </c>
      <c r="K235" s="80">
        <f t="shared" si="43"/>
        <v>4056.4000000000156</v>
      </c>
      <c r="M235" s="4">
        <v>200</v>
      </c>
      <c r="N235" s="5">
        <f t="shared" si="38"/>
        <v>744.1</v>
      </c>
    </row>
    <row r="236" spans="1:14" ht="16.5">
      <c r="A236" s="86">
        <f t="shared" si="39"/>
        <v>233</v>
      </c>
      <c r="B236" s="80">
        <f t="shared" si="40"/>
        <v>2530.5</v>
      </c>
      <c r="C236" s="249"/>
      <c r="D236" s="86">
        <f t="shared" si="35"/>
        <v>233</v>
      </c>
      <c r="E236" s="80">
        <f t="shared" si="41"/>
        <v>2530.5</v>
      </c>
      <c r="G236" s="86">
        <f t="shared" si="36"/>
        <v>233</v>
      </c>
      <c r="H236" s="80">
        <f t="shared" si="42"/>
        <v>3712.2000000000153</v>
      </c>
      <c r="I236" s="28"/>
      <c r="J236" s="86">
        <f t="shared" si="37"/>
        <v>233</v>
      </c>
      <c r="K236" s="80">
        <f t="shared" si="43"/>
        <v>4073.3000000000156</v>
      </c>
      <c r="M236" s="4">
        <v>200</v>
      </c>
      <c r="N236" s="5">
        <f t="shared" si="38"/>
        <v>747.1</v>
      </c>
    </row>
    <row r="237" spans="1:14" ht="16.5">
      <c r="A237" s="86">
        <f t="shared" si="39"/>
        <v>234</v>
      </c>
      <c r="B237" s="80">
        <f t="shared" si="40"/>
        <v>2541</v>
      </c>
      <c r="C237" s="249"/>
      <c r="D237" s="86">
        <f t="shared" si="35"/>
        <v>234</v>
      </c>
      <c r="E237" s="80">
        <f t="shared" si="41"/>
        <v>2541</v>
      </c>
      <c r="G237" s="86">
        <f t="shared" si="36"/>
        <v>234</v>
      </c>
      <c r="H237" s="80">
        <f t="shared" si="42"/>
        <v>3727.6000000000154</v>
      </c>
      <c r="I237" s="28"/>
      <c r="J237" s="86">
        <f t="shared" si="37"/>
        <v>234</v>
      </c>
      <c r="K237" s="80">
        <f t="shared" si="43"/>
        <v>4090.2000000000157</v>
      </c>
      <c r="M237" s="4">
        <v>200</v>
      </c>
      <c r="N237" s="5">
        <f t="shared" si="38"/>
        <v>750.1</v>
      </c>
    </row>
    <row r="238" spans="1:14" ht="16.5">
      <c r="A238" s="86">
        <f t="shared" si="39"/>
        <v>235</v>
      </c>
      <c r="B238" s="80">
        <f t="shared" si="40"/>
        <v>2551.5</v>
      </c>
      <c r="C238" s="249"/>
      <c r="D238" s="86">
        <f t="shared" si="35"/>
        <v>235</v>
      </c>
      <c r="E238" s="80">
        <f t="shared" si="41"/>
        <v>2551.5</v>
      </c>
      <c r="G238" s="86">
        <f t="shared" si="36"/>
        <v>235</v>
      </c>
      <c r="H238" s="80">
        <f t="shared" si="42"/>
        <v>3743.0000000000155</v>
      </c>
      <c r="I238" s="28"/>
      <c r="J238" s="86">
        <f t="shared" si="37"/>
        <v>235</v>
      </c>
      <c r="K238" s="80">
        <f t="shared" si="43"/>
        <v>4107.1000000000158</v>
      </c>
      <c r="M238" s="4">
        <v>200</v>
      </c>
      <c r="N238" s="5">
        <f t="shared" si="38"/>
        <v>753.1</v>
      </c>
    </row>
    <row r="239" spans="1:14" ht="16.5">
      <c r="A239" s="86">
        <f t="shared" si="39"/>
        <v>236</v>
      </c>
      <c r="B239" s="80">
        <f t="shared" si="40"/>
        <v>2562</v>
      </c>
      <c r="C239" s="249"/>
      <c r="D239" s="86">
        <f t="shared" si="35"/>
        <v>236</v>
      </c>
      <c r="E239" s="80">
        <f t="shared" si="41"/>
        <v>2562</v>
      </c>
      <c r="G239" s="86">
        <f t="shared" si="36"/>
        <v>236</v>
      </c>
      <c r="H239" s="80">
        <f t="shared" si="42"/>
        <v>3758.4000000000156</v>
      </c>
      <c r="I239" s="28"/>
      <c r="J239" s="86">
        <f t="shared" si="37"/>
        <v>236</v>
      </c>
      <c r="K239" s="80">
        <f t="shared" si="43"/>
        <v>4124.0000000000155</v>
      </c>
      <c r="M239" s="4">
        <v>200</v>
      </c>
      <c r="N239" s="5">
        <f t="shared" si="38"/>
        <v>756.1</v>
      </c>
    </row>
    <row r="240" spans="1:14" ht="16.5">
      <c r="A240" s="86">
        <f t="shared" si="39"/>
        <v>237</v>
      </c>
      <c r="B240" s="80">
        <f t="shared" si="40"/>
        <v>2572.5</v>
      </c>
      <c r="C240" s="249"/>
      <c r="D240" s="86">
        <f t="shared" si="35"/>
        <v>237</v>
      </c>
      <c r="E240" s="80">
        <f t="shared" si="41"/>
        <v>2572.5</v>
      </c>
      <c r="G240" s="86">
        <f t="shared" si="36"/>
        <v>237</v>
      </c>
      <c r="H240" s="80">
        <f t="shared" si="42"/>
        <v>3773.8000000000156</v>
      </c>
      <c r="I240" s="28"/>
      <c r="J240" s="86">
        <f t="shared" si="37"/>
        <v>237</v>
      </c>
      <c r="K240" s="80">
        <f t="shared" si="43"/>
        <v>4140.9000000000151</v>
      </c>
      <c r="M240" s="4">
        <v>200</v>
      </c>
      <c r="N240" s="5">
        <f t="shared" si="38"/>
        <v>759.1</v>
      </c>
    </row>
    <row r="241" spans="1:14" ht="16.5">
      <c r="A241" s="86">
        <f t="shared" si="39"/>
        <v>238</v>
      </c>
      <c r="B241" s="80">
        <f t="shared" si="40"/>
        <v>2583</v>
      </c>
      <c r="C241" s="249"/>
      <c r="D241" s="86">
        <f t="shared" si="35"/>
        <v>238</v>
      </c>
      <c r="E241" s="80">
        <f t="shared" si="41"/>
        <v>2583</v>
      </c>
      <c r="G241" s="86">
        <f t="shared" si="36"/>
        <v>238</v>
      </c>
      <c r="H241" s="80">
        <f t="shared" si="42"/>
        <v>3789.2000000000157</v>
      </c>
      <c r="I241" s="28"/>
      <c r="J241" s="86">
        <f t="shared" si="37"/>
        <v>238</v>
      </c>
      <c r="K241" s="80">
        <f t="shared" si="43"/>
        <v>4157.8000000000147</v>
      </c>
      <c r="M241" s="4">
        <v>200</v>
      </c>
      <c r="N241" s="5">
        <f t="shared" si="38"/>
        <v>762.1</v>
      </c>
    </row>
    <row r="242" spans="1:14" ht="16.5">
      <c r="A242" s="86">
        <f t="shared" si="39"/>
        <v>239</v>
      </c>
      <c r="B242" s="80">
        <f t="shared" si="40"/>
        <v>2593.5</v>
      </c>
      <c r="C242" s="249"/>
      <c r="D242" s="86">
        <f t="shared" si="35"/>
        <v>239</v>
      </c>
      <c r="E242" s="80">
        <f t="shared" si="41"/>
        <v>2593.5</v>
      </c>
      <c r="G242" s="86">
        <f t="shared" si="36"/>
        <v>239</v>
      </c>
      <c r="H242" s="80">
        <f t="shared" si="42"/>
        <v>3804.6000000000158</v>
      </c>
      <c r="I242" s="28"/>
      <c r="J242" s="86">
        <f t="shared" si="37"/>
        <v>239</v>
      </c>
      <c r="K242" s="80">
        <f t="shared" si="43"/>
        <v>4174.7000000000144</v>
      </c>
      <c r="M242" s="4">
        <v>200</v>
      </c>
      <c r="N242" s="5">
        <f t="shared" si="38"/>
        <v>765.1</v>
      </c>
    </row>
    <row r="243" spans="1:14" ht="16.5">
      <c r="A243" s="86">
        <f t="shared" si="39"/>
        <v>240</v>
      </c>
      <c r="B243" s="80">
        <f t="shared" si="40"/>
        <v>2604</v>
      </c>
      <c r="C243" s="249"/>
      <c r="D243" s="86">
        <f t="shared" si="35"/>
        <v>240</v>
      </c>
      <c r="E243" s="80">
        <f t="shared" si="41"/>
        <v>2604</v>
      </c>
      <c r="G243" s="86">
        <f t="shared" si="36"/>
        <v>240</v>
      </c>
      <c r="H243" s="80">
        <f t="shared" si="42"/>
        <v>3820.0000000000159</v>
      </c>
      <c r="I243" s="28"/>
      <c r="J243" s="86">
        <f t="shared" si="37"/>
        <v>240</v>
      </c>
      <c r="K243" s="80">
        <f t="shared" si="43"/>
        <v>4191.600000000014</v>
      </c>
      <c r="M243" s="4">
        <v>200</v>
      </c>
      <c r="N243" s="5">
        <f t="shared" si="38"/>
        <v>768.1</v>
      </c>
    </row>
    <row r="244" spans="1:14" ht="16.5">
      <c r="A244" s="86">
        <f t="shared" si="39"/>
        <v>241</v>
      </c>
      <c r="B244" s="80">
        <f t="shared" si="40"/>
        <v>2614.5</v>
      </c>
      <c r="C244" s="249"/>
      <c r="D244" s="86">
        <f t="shared" si="35"/>
        <v>241</v>
      </c>
      <c r="E244" s="80">
        <f t="shared" si="41"/>
        <v>2614.5</v>
      </c>
      <c r="G244" s="86">
        <f t="shared" si="36"/>
        <v>241</v>
      </c>
      <c r="H244" s="80">
        <f t="shared" si="42"/>
        <v>3835.400000000016</v>
      </c>
      <c r="I244" s="28"/>
      <c r="J244" s="86">
        <f t="shared" si="37"/>
        <v>241</v>
      </c>
      <c r="K244" s="80">
        <f t="shared" si="43"/>
        <v>4208.5000000000136</v>
      </c>
      <c r="M244" s="4">
        <v>200</v>
      </c>
      <c r="N244" s="5">
        <f t="shared" si="38"/>
        <v>771.1</v>
      </c>
    </row>
    <row r="245" spans="1:14" ht="16.5">
      <c r="A245" s="86">
        <f t="shared" si="39"/>
        <v>242</v>
      </c>
      <c r="B245" s="80">
        <f t="shared" si="40"/>
        <v>2625</v>
      </c>
      <c r="C245" s="249"/>
      <c r="D245" s="86">
        <f t="shared" si="35"/>
        <v>242</v>
      </c>
      <c r="E245" s="80">
        <f t="shared" si="41"/>
        <v>2625</v>
      </c>
      <c r="G245" s="86">
        <f t="shared" si="36"/>
        <v>242</v>
      </c>
      <c r="H245" s="80">
        <f t="shared" si="42"/>
        <v>3850.8000000000161</v>
      </c>
      <c r="I245" s="28"/>
      <c r="J245" s="86">
        <f t="shared" si="37"/>
        <v>242</v>
      </c>
      <c r="K245" s="80">
        <f t="shared" si="43"/>
        <v>4225.4000000000133</v>
      </c>
      <c r="M245" s="4">
        <v>200</v>
      </c>
      <c r="N245" s="5">
        <f t="shared" si="38"/>
        <v>774.1</v>
      </c>
    </row>
    <row r="246" spans="1:14" ht="16.5">
      <c r="A246" s="86">
        <f t="shared" si="39"/>
        <v>243</v>
      </c>
      <c r="B246" s="80">
        <f t="shared" si="40"/>
        <v>2635.5</v>
      </c>
      <c r="C246" s="249"/>
      <c r="D246" s="86">
        <f t="shared" si="35"/>
        <v>243</v>
      </c>
      <c r="E246" s="80">
        <f t="shared" si="41"/>
        <v>2635.5</v>
      </c>
      <c r="G246" s="86">
        <f t="shared" si="36"/>
        <v>243</v>
      </c>
      <c r="H246" s="80">
        <f t="shared" si="42"/>
        <v>3866.2000000000162</v>
      </c>
      <c r="I246" s="28"/>
      <c r="J246" s="86">
        <f t="shared" si="37"/>
        <v>243</v>
      </c>
      <c r="K246" s="80">
        <f t="shared" si="43"/>
        <v>4242.3000000000129</v>
      </c>
      <c r="M246" s="4">
        <v>200</v>
      </c>
      <c r="N246" s="5">
        <f t="shared" si="38"/>
        <v>777.1</v>
      </c>
    </row>
    <row r="247" spans="1:14" ht="16.5">
      <c r="A247" s="86">
        <f t="shared" si="39"/>
        <v>244</v>
      </c>
      <c r="B247" s="80">
        <f t="shared" si="40"/>
        <v>2646</v>
      </c>
      <c r="C247" s="249"/>
      <c r="D247" s="86">
        <f t="shared" si="35"/>
        <v>244</v>
      </c>
      <c r="E247" s="80">
        <f t="shared" si="41"/>
        <v>2646</v>
      </c>
      <c r="G247" s="86">
        <f t="shared" si="36"/>
        <v>244</v>
      </c>
      <c r="H247" s="80">
        <f t="shared" si="42"/>
        <v>3881.6000000000163</v>
      </c>
      <c r="I247" s="28"/>
      <c r="J247" s="86">
        <f t="shared" si="37"/>
        <v>244</v>
      </c>
      <c r="K247" s="80">
        <f t="shared" si="43"/>
        <v>4259.2000000000126</v>
      </c>
      <c r="M247" s="4">
        <v>200</v>
      </c>
      <c r="N247" s="5">
        <f t="shared" si="38"/>
        <v>780.1</v>
      </c>
    </row>
    <row r="248" spans="1:14" ht="16.5">
      <c r="A248" s="86">
        <f t="shared" si="39"/>
        <v>245</v>
      </c>
      <c r="B248" s="80">
        <f t="shared" si="40"/>
        <v>2656.5</v>
      </c>
      <c r="C248" s="249"/>
      <c r="D248" s="86">
        <f t="shared" si="35"/>
        <v>245</v>
      </c>
      <c r="E248" s="80">
        <f t="shared" si="41"/>
        <v>2656.5</v>
      </c>
      <c r="G248" s="86">
        <f t="shared" si="36"/>
        <v>245</v>
      </c>
      <c r="H248" s="80">
        <f t="shared" si="42"/>
        <v>3897.0000000000164</v>
      </c>
      <c r="I248" s="28"/>
      <c r="J248" s="86">
        <f t="shared" si="37"/>
        <v>245</v>
      </c>
      <c r="K248" s="80">
        <f t="shared" si="43"/>
        <v>4276.1000000000122</v>
      </c>
      <c r="M248" s="4">
        <v>200</v>
      </c>
      <c r="N248" s="5">
        <f t="shared" si="38"/>
        <v>783.1</v>
      </c>
    </row>
    <row r="249" spans="1:14" ht="16.5">
      <c r="A249" s="86">
        <f t="shared" si="39"/>
        <v>246</v>
      </c>
      <c r="B249" s="80">
        <f t="shared" si="40"/>
        <v>2667</v>
      </c>
      <c r="C249" s="249"/>
      <c r="D249" s="86">
        <f t="shared" si="35"/>
        <v>246</v>
      </c>
      <c r="E249" s="80">
        <f t="shared" si="41"/>
        <v>2667</v>
      </c>
      <c r="G249" s="86">
        <f t="shared" si="36"/>
        <v>246</v>
      </c>
      <c r="H249" s="80">
        <f t="shared" si="42"/>
        <v>3912.4000000000165</v>
      </c>
      <c r="I249" s="28"/>
      <c r="J249" s="86">
        <f t="shared" si="37"/>
        <v>246</v>
      </c>
      <c r="K249" s="80">
        <f t="shared" si="43"/>
        <v>4293.0000000000118</v>
      </c>
      <c r="M249" s="4">
        <v>200</v>
      </c>
      <c r="N249" s="5">
        <f t="shared" si="38"/>
        <v>786.1</v>
      </c>
    </row>
    <row r="250" spans="1:14" ht="16.5">
      <c r="A250" s="86">
        <f t="shared" si="39"/>
        <v>247</v>
      </c>
      <c r="B250" s="80">
        <f t="shared" si="40"/>
        <v>2677.5</v>
      </c>
      <c r="C250" s="249"/>
      <c r="D250" s="86">
        <f t="shared" si="35"/>
        <v>247</v>
      </c>
      <c r="E250" s="80">
        <f t="shared" si="41"/>
        <v>2677.5</v>
      </c>
      <c r="G250" s="86">
        <f t="shared" si="36"/>
        <v>247</v>
      </c>
      <c r="H250" s="80">
        <f t="shared" si="42"/>
        <v>3927.8000000000166</v>
      </c>
      <c r="I250" s="28"/>
      <c r="J250" s="86">
        <f t="shared" si="37"/>
        <v>247</v>
      </c>
      <c r="K250" s="80">
        <f t="shared" si="43"/>
        <v>4309.9000000000115</v>
      </c>
      <c r="M250" s="4">
        <v>200</v>
      </c>
      <c r="N250" s="5">
        <f t="shared" si="38"/>
        <v>789.1</v>
      </c>
    </row>
    <row r="251" spans="1:14" ht="16.5">
      <c r="A251" s="86">
        <f t="shared" si="39"/>
        <v>248</v>
      </c>
      <c r="B251" s="80">
        <f t="shared" si="40"/>
        <v>2688</v>
      </c>
      <c r="C251" s="249"/>
      <c r="D251" s="86">
        <f t="shared" si="35"/>
        <v>248</v>
      </c>
      <c r="E251" s="80">
        <f t="shared" si="41"/>
        <v>2688</v>
      </c>
      <c r="G251" s="86">
        <f t="shared" si="36"/>
        <v>248</v>
      </c>
      <c r="H251" s="80">
        <f t="shared" si="42"/>
        <v>3943.2000000000166</v>
      </c>
      <c r="I251" s="28"/>
      <c r="J251" s="86">
        <f t="shared" si="37"/>
        <v>248</v>
      </c>
      <c r="K251" s="80">
        <f t="shared" si="43"/>
        <v>4326.8000000000111</v>
      </c>
      <c r="M251" s="4">
        <v>200</v>
      </c>
      <c r="N251" s="5">
        <f t="shared" si="38"/>
        <v>792.1</v>
      </c>
    </row>
    <row r="252" spans="1:14" ht="16.5">
      <c r="A252" s="86">
        <f t="shared" si="39"/>
        <v>249</v>
      </c>
      <c r="B252" s="80">
        <f t="shared" si="40"/>
        <v>2698.5</v>
      </c>
      <c r="C252" s="249"/>
      <c r="D252" s="86">
        <f t="shared" si="35"/>
        <v>249</v>
      </c>
      <c r="E252" s="80">
        <f t="shared" si="41"/>
        <v>2698.5</v>
      </c>
      <c r="G252" s="86">
        <f t="shared" si="36"/>
        <v>249</v>
      </c>
      <c r="H252" s="80">
        <f t="shared" si="42"/>
        <v>3958.6000000000167</v>
      </c>
      <c r="I252" s="28"/>
      <c r="J252" s="86">
        <f t="shared" si="37"/>
        <v>249</v>
      </c>
      <c r="K252" s="80">
        <f t="shared" si="43"/>
        <v>4343.7000000000107</v>
      </c>
      <c r="M252" s="4">
        <v>200</v>
      </c>
      <c r="N252" s="5">
        <f t="shared" si="38"/>
        <v>795.1</v>
      </c>
    </row>
    <row r="253" spans="1:14" ht="16.5">
      <c r="A253" s="86">
        <f t="shared" si="39"/>
        <v>250</v>
      </c>
      <c r="B253" s="80">
        <f t="shared" si="40"/>
        <v>2709</v>
      </c>
      <c r="C253" s="249"/>
      <c r="D253" s="86">
        <f t="shared" si="35"/>
        <v>250</v>
      </c>
      <c r="E253" s="80">
        <f t="shared" si="41"/>
        <v>2709</v>
      </c>
      <c r="G253" s="86">
        <f t="shared" si="36"/>
        <v>250</v>
      </c>
      <c r="H253" s="80">
        <f t="shared" si="42"/>
        <v>3974.0000000000168</v>
      </c>
      <c r="I253" s="28"/>
      <c r="J253" s="86">
        <f t="shared" si="37"/>
        <v>250</v>
      </c>
      <c r="K253" s="80">
        <f t="shared" si="43"/>
        <v>4360.6000000000104</v>
      </c>
      <c r="M253" s="4">
        <v>200</v>
      </c>
      <c r="N253" s="5">
        <f t="shared" si="38"/>
        <v>798.1</v>
      </c>
    </row>
    <row r="254" spans="1:14" ht="16.5">
      <c r="A254" s="86">
        <f t="shared" si="39"/>
        <v>251</v>
      </c>
      <c r="B254" s="80">
        <f t="shared" si="40"/>
        <v>2719.5</v>
      </c>
      <c r="C254" s="249"/>
      <c r="D254" s="86">
        <f t="shared" si="35"/>
        <v>251</v>
      </c>
      <c r="E254" s="80">
        <f t="shared" si="41"/>
        <v>2719.5</v>
      </c>
      <c r="G254" s="86">
        <f t="shared" si="36"/>
        <v>251</v>
      </c>
      <c r="H254" s="80">
        <f t="shared" si="42"/>
        <v>3989.4000000000169</v>
      </c>
      <c r="I254" s="28"/>
      <c r="J254" s="86">
        <f t="shared" si="37"/>
        <v>251</v>
      </c>
      <c r="K254" s="80">
        <f t="shared" si="43"/>
        <v>4377.50000000001</v>
      </c>
      <c r="M254" s="4">
        <v>200</v>
      </c>
      <c r="N254" s="5">
        <f t="shared" si="38"/>
        <v>801.1</v>
      </c>
    </row>
    <row r="255" spans="1:14" ht="16.5">
      <c r="A255" s="86">
        <f t="shared" si="39"/>
        <v>252</v>
      </c>
      <c r="B255" s="80">
        <f t="shared" si="40"/>
        <v>2730</v>
      </c>
      <c r="C255" s="249"/>
      <c r="D255" s="86">
        <f t="shared" si="35"/>
        <v>252</v>
      </c>
      <c r="E255" s="80">
        <f t="shared" si="41"/>
        <v>2730</v>
      </c>
      <c r="G255" s="86">
        <f t="shared" si="36"/>
        <v>252</v>
      </c>
      <c r="H255" s="80">
        <f t="shared" si="42"/>
        <v>4004.800000000017</v>
      </c>
      <c r="I255" s="28"/>
      <c r="J255" s="86">
        <f t="shared" si="37"/>
        <v>252</v>
      </c>
      <c r="K255" s="80">
        <f t="shared" si="43"/>
        <v>4394.4000000000096</v>
      </c>
      <c r="M255" s="4">
        <v>200</v>
      </c>
      <c r="N255" s="5">
        <f t="shared" si="38"/>
        <v>804.1</v>
      </c>
    </row>
    <row r="256" spans="1:14" ht="16.5">
      <c r="A256" s="86">
        <f t="shared" si="39"/>
        <v>253</v>
      </c>
      <c r="B256" s="80">
        <f t="shared" si="40"/>
        <v>2740.5</v>
      </c>
      <c r="C256" s="249"/>
      <c r="D256" s="86">
        <f t="shared" si="35"/>
        <v>253</v>
      </c>
      <c r="E256" s="80">
        <f t="shared" si="41"/>
        <v>2740.5</v>
      </c>
      <c r="G256" s="86">
        <f t="shared" si="36"/>
        <v>253</v>
      </c>
      <c r="H256" s="80">
        <f t="shared" si="42"/>
        <v>4020.2000000000171</v>
      </c>
      <c r="I256" s="28"/>
      <c r="J256" s="86">
        <f t="shared" si="37"/>
        <v>253</v>
      </c>
      <c r="K256" s="80">
        <f t="shared" si="43"/>
        <v>4411.3000000000093</v>
      </c>
      <c r="M256" s="4">
        <v>200</v>
      </c>
      <c r="N256" s="5">
        <f t="shared" si="38"/>
        <v>807.1</v>
      </c>
    </row>
    <row r="257" spans="1:14" ht="16.5">
      <c r="A257" s="86">
        <f t="shared" si="39"/>
        <v>254</v>
      </c>
      <c r="B257" s="80">
        <f t="shared" si="40"/>
        <v>2751</v>
      </c>
      <c r="C257" s="249"/>
      <c r="D257" s="86">
        <f t="shared" si="35"/>
        <v>254</v>
      </c>
      <c r="E257" s="80">
        <f t="shared" si="41"/>
        <v>2751</v>
      </c>
      <c r="G257" s="86">
        <f t="shared" si="36"/>
        <v>254</v>
      </c>
      <c r="H257" s="80">
        <f t="shared" si="42"/>
        <v>4035.6000000000172</v>
      </c>
      <c r="I257" s="28"/>
      <c r="J257" s="86">
        <f t="shared" si="37"/>
        <v>254</v>
      </c>
      <c r="K257" s="80">
        <f t="shared" si="43"/>
        <v>4428.2000000000089</v>
      </c>
      <c r="M257" s="4">
        <v>200</v>
      </c>
      <c r="N257" s="5">
        <f t="shared" si="38"/>
        <v>810.1</v>
      </c>
    </row>
    <row r="258" spans="1:14" ht="16.5">
      <c r="A258" s="86">
        <f t="shared" si="39"/>
        <v>255</v>
      </c>
      <c r="B258" s="80">
        <f t="shared" si="40"/>
        <v>2761.5</v>
      </c>
      <c r="C258" s="249"/>
      <c r="D258" s="86">
        <f t="shared" si="35"/>
        <v>255</v>
      </c>
      <c r="E258" s="80">
        <f t="shared" si="41"/>
        <v>2761.5</v>
      </c>
      <c r="G258" s="86">
        <f t="shared" si="36"/>
        <v>255</v>
      </c>
      <c r="H258" s="80">
        <f t="shared" si="42"/>
        <v>4051.0000000000173</v>
      </c>
      <c r="I258" s="28"/>
      <c r="J258" s="86">
        <f t="shared" si="37"/>
        <v>255</v>
      </c>
      <c r="K258" s="80">
        <f t="shared" si="43"/>
        <v>4445.1000000000085</v>
      </c>
      <c r="M258" s="4">
        <v>200</v>
      </c>
      <c r="N258" s="5">
        <f t="shared" si="38"/>
        <v>813.1</v>
      </c>
    </row>
    <row r="259" spans="1:14" ht="16.5">
      <c r="A259" s="86">
        <f t="shared" si="39"/>
        <v>256</v>
      </c>
      <c r="B259" s="80">
        <f t="shared" si="40"/>
        <v>2772</v>
      </c>
      <c r="C259" s="249"/>
      <c r="D259" s="86">
        <f t="shared" si="35"/>
        <v>256</v>
      </c>
      <c r="E259" s="80">
        <f t="shared" si="41"/>
        <v>2772</v>
      </c>
      <c r="G259" s="86">
        <f t="shared" si="36"/>
        <v>256</v>
      </c>
      <c r="H259" s="80">
        <f t="shared" si="42"/>
        <v>4066.4000000000174</v>
      </c>
      <c r="I259" s="28"/>
      <c r="J259" s="86">
        <f t="shared" si="37"/>
        <v>256</v>
      </c>
      <c r="K259" s="80">
        <f t="shared" si="43"/>
        <v>4462.0000000000082</v>
      </c>
      <c r="M259" s="4">
        <v>200</v>
      </c>
      <c r="N259" s="5">
        <f t="shared" si="38"/>
        <v>816.1</v>
      </c>
    </row>
    <row r="260" spans="1:14" ht="16.5">
      <c r="A260" s="86">
        <f t="shared" si="39"/>
        <v>257</v>
      </c>
      <c r="B260" s="80">
        <f t="shared" si="40"/>
        <v>2782.5</v>
      </c>
      <c r="C260" s="249"/>
      <c r="D260" s="86">
        <f t="shared" si="35"/>
        <v>257</v>
      </c>
      <c r="E260" s="80">
        <f t="shared" si="41"/>
        <v>2782.5</v>
      </c>
      <c r="G260" s="86">
        <f t="shared" si="36"/>
        <v>257</v>
      </c>
      <c r="H260" s="80">
        <f t="shared" si="42"/>
        <v>4081.8000000000175</v>
      </c>
      <c r="I260" s="28"/>
      <c r="J260" s="86">
        <f t="shared" si="37"/>
        <v>257</v>
      </c>
      <c r="K260" s="80">
        <f t="shared" si="43"/>
        <v>4478.9000000000078</v>
      </c>
      <c r="M260" s="4">
        <v>200</v>
      </c>
      <c r="N260" s="5">
        <f t="shared" si="38"/>
        <v>819.1</v>
      </c>
    </row>
    <row r="261" spans="1:14" ht="16.5">
      <c r="A261" s="86">
        <f t="shared" si="39"/>
        <v>258</v>
      </c>
      <c r="B261" s="80">
        <f t="shared" si="40"/>
        <v>2793</v>
      </c>
      <c r="C261" s="249"/>
      <c r="D261" s="86">
        <f t="shared" ref="D261:D303" si="44">D260+1</f>
        <v>258</v>
      </c>
      <c r="E261" s="80">
        <f t="shared" si="41"/>
        <v>2793</v>
      </c>
      <c r="G261" s="86">
        <f t="shared" si="36"/>
        <v>258</v>
      </c>
      <c r="H261" s="80">
        <f t="shared" si="42"/>
        <v>4097.2000000000171</v>
      </c>
      <c r="I261" s="28"/>
      <c r="J261" s="86">
        <f t="shared" si="37"/>
        <v>258</v>
      </c>
      <c r="K261" s="80">
        <f t="shared" si="43"/>
        <v>4495.8000000000075</v>
      </c>
      <c r="M261" s="4">
        <v>200</v>
      </c>
      <c r="N261" s="5">
        <f t="shared" si="38"/>
        <v>822.1</v>
      </c>
    </row>
    <row r="262" spans="1:14" ht="16.5">
      <c r="A262" s="86">
        <f t="shared" si="39"/>
        <v>259</v>
      </c>
      <c r="B262" s="80">
        <f t="shared" si="40"/>
        <v>2803.5</v>
      </c>
      <c r="C262" s="249"/>
      <c r="D262" s="86">
        <f t="shared" si="44"/>
        <v>259</v>
      </c>
      <c r="E262" s="80">
        <f t="shared" si="41"/>
        <v>2803.5</v>
      </c>
      <c r="G262" s="86">
        <f t="shared" ref="G262:G303" si="45">G261+1</f>
        <v>259</v>
      </c>
      <c r="H262" s="80">
        <f t="shared" si="42"/>
        <v>4112.6000000000167</v>
      </c>
      <c r="I262" s="28"/>
      <c r="J262" s="86">
        <f t="shared" ref="J262:J303" si="46">J261+1</f>
        <v>259</v>
      </c>
      <c r="K262" s="80">
        <f t="shared" si="43"/>
        <v>4512.7000000000071</v>
      </c>
      <c r="M262" s="4">
        <v>200</v>
      </c>
      <c r="N262" s="5">
        <f t="shared" si="38"/>
        <v>825.1</v>
      </c>
    </row>
    <row r="263" spans="1:14" ht="16.5">
      <c r="A263" s="86">
        <f t="shared" si="39"/>
        <v>260</v>
      </c>
      <c r="B263" s="80">
        <f t="shared" si="40"/>
        <v>2814</v>
      </c>
      <c r="C263" s="249"/>
      <c r="D263" s="86">
        <f t="shared" si="44"/>
        <v>260</v>
      </c>
      <c r="E263" s="80">
        <f t="shared" si="41"/>
        <v>2814</v>
      </c>
      <c r="G263" s="86">
        <f t="shared" si="45"/>
        <v>260</v>
      </c>
      <c r="H263" s="80">
        <f t="shared" si="42"/>
        <v>4128.0000000000164</v>
      </c>
      <c r="I263" s="28"/>
      <c r="J263" s="86">
        <f t="shared" si="46"/>
        <v>260</v>
      </c>
      <c r="K263" s="80">
        <f t="shared" si="43"/>
        <v>4529.6000000000067</v>
      </c>
      <c r="M263" s="4">
        <v>200</v>
      </c>
      <c r="N263" s="5">
        <f t="shared" si="38"/>
        <v>828.1</v>
      </c>
    </row>
    <row r="264" spans="1:14" ht="16.5">
      <c r="A264" s="86">
        <f t="shared" si="39"/>
        <v>261</v>
      </c>
      <c r="B264" s="80">
        <f t="shared" si="40"/>
        <v>2824.5</v>
      </c>
      <c r="C264" s="249"/>
      <c r="D264" s="86">
        <f t="shared" si="44"/>
        <v>261</v>
      </c>
      <c r="E264" s="80">
        <f t="shared" si="41"/>
        <v>2824.5</v>
      </c>
      <c r="G264" s="86">
        <f t="shared" si="45"/>
        <v>261</v>
      </c>
      <c r="H264" s="80">
        <f t="shared" si="42"/>
        <v>4143.400000000016</v>
      </c>
      <c r="I264" s="28"/>
      <c r="J264" s="86">
        <f t="shared" si="46"/>
        <v>261</v>
      </c>
      <c r="K264" s="80">
        <f t="shared" si="43"/>
        <v>4546.5000000000064</v>
      </c>
      <c r="M264" s="4">
        <v>200</v>
      </c>
      <c r="N264" s="5">
        <f t="shared" si="38"/>
        <v>831.1</v>
      </c>
    </row>
    <row r="265" spans="1:14" ht="16.5">
      <c r="A265" s="86">
        <f t="shared" si="39"/>
        <v>262</v>
      </c>
      <c r="B265" s="80">
        <f t="shared" si="40"/>
        <v>2835</v>
      </c>
      <c r="C265" s="249"/>
      <c r="D265" s="86">
        <f t="shared" si="44"/>
        <v>262</v>
      </c>
      <c r="E265" s="80">
        <f t="shared" si="41"/>
        <v>2835</v>
      </c>
      <c r="G265" s="86">
        <f t="shared" si="45"/>
        <v>262</v>
      </c>
      <c r="H265" s="80">
        <f t="shared" si="42"/>
        <v>4158.8000000000156</v>
      </c>
      <c r="I265" s="28"/>
      <c r="J265" s="86">
        <f t="shared" si="46"/>
        <v>262</v>
      </c>
      <c r="K265" s="80">
        <f t="shared" si="43"/>
        <v>4563.400000000006</v>
      </c>
      <c r="M265" s="4">
        <v>200</v>
      </c>
      <c r="N265" s="5">
        <f t="shared" si="38"/>
        <v>834.1</v>
      </c>
    </row>
    <row r="266" spans="1:14" ht="16.5">
      <c r="A266" s="86">
        <f t="shared" si="39"/>
        <v>263</v>
      </c>
      <c r="B266" s="80">
        <f t="shared" si="40"/>
        <v>2845.5</v>
      </c>
      <c r="C266" s="249"/>
      <c r="D266" s="86">
        <f t="shared" si="44"/>
        <v>263</v>
      </c>
      <c r="E266" s="80">
        <f t="shared" si="41"/>
        <v>2845.5</v>
      </c>
      <c r="G266" s="86">
        <f t="shared" si="45"/>
        <v>263</v>
      </c>
      <c r="H266" s="80">
        <f t="shared" si="42"/>
        <v>4174.2000000000153</v>
      </c>
      <c r="I266" s="28"/>
      <c r="J266" s="86">
        <f t="shared" si="46"/>
        <v>263</v>
      </c>
      <c r="K266" s="80">
        <f t="shared" si="43"/>
        <v>4580.3000000000056</v>
      </c>
      <c r="M266" s="4">
        <v>200</v>
      </c>
      <c r="N266" s="5">
        <f t="shared" si="38"/>
        <v>837.1</v>
      </c>
    </row>
    <row r="267" spans="1:14" ht="16.5">
      <c r="A267" s="86">
        <f t="shared" si="39"/>
        <v>264</v>
      </c>
      <c r="B267" s="80">
        <f t="shared" si="40"/>
        <v>2856</v>
      </c>
      <c r="C267" s="249"/>
      <c r="D267" s="86">
        <f t="shared" si="44"/>
        <v>264</v>
      </c>
      <c r="E267" s="80">
        <f t="shared" si="41"/>
        <v>2856</v>
      </c>
      <c r="G267" s="86">
        <f t="shared" si="45"/>
        <v>264</v>
      </c>
      <c r="H267" s="80">
        <f t="shared" si="42"/>
        <v>4189.6000000000149</v>
      </c>
      <c r="I267" s="28"/>
      <c r="J267" s="86">
        <f t="shared" si="46"/>
        <v>264</v>
      </c>
      <c r="K267" s="80">
        <f t="shared" si="43"/>
        <v>4597.2000000000053</v>
      </c>
      <c r="M267" s="4">
        <v>200</v>
      </c>
      <c r="N267" s="5">
        <f t="shared" si="38"/>
        <v>840.1</v>
      </c>
    </row>
    <row r="268" spans="1:14" ht="16.5">
      <c r="A268" s="86">
        <f t="shared" si="39"/>
        <v>265</v>
      </c>
      <c r="B268" s="80">
        <f t="shared" si="40"/>
        <v>2866.5</v>
      </c>
      <c r="C268" s="249"/>
      <c r="D268" s="86">
        <f t="shared" si="44"/>
        <v>265</v>
      </c>
      <c r="E268" s="80">
        <f t="shared" si="41"/>
        <v>2866.5</v>
      </c>
      <c r="G268" s="86">
        <f t="shared" si="45"/>
        <v>265</v>
      </c>
      <c r="H268" s="80">
        <f t="shared" si="42"/>
        <v>4205.0000000000146</v>
      </c>
      <c r="I268" s="28"/>
      <c r="J268" s="86">
        <f t="shared" si="46"/>
        <v>265</v>
      </c>
      <c r="K268" s="80">
        <f t="shared" si="43"/>
        <v>4614.1000000000049</v>
      </c>
      <c r="M268" s="4">
        <v>200</v>
      </c>
      <c r="N268" s="5">
        <f t="shared" ref="N268:N301" si="47">N267+3</f>
        <v>843.1</v>
      </c>
    </row>
    <row r="269" spans="1:14" ht="16.5">
      <c r="A269" s="86">
        <f t="shared" si="39"/>
        <v>266</v>
      </c>
      <c r="B269" s="80">
        <f t="shared" si="40"/>
        <v>2877</v>
      </c>
      <c r="C269" s="249"/>
      <c r="D269" s="86">
        <f t="shared" si="44"/>
        <v>266</v>
      </c>
      <c r="E269" s="80">
        <f t="shared" si="41"/>
        <v>2877</v>
      </c>
      <c r="G269" s="86">
        <f t="shared" si="45"/>
        <v>266</v>
      </c>
      <c r="H269" s="80">
        <f t="shared" si="42"/>
        <v>4220.4000000000142</v>
      </c>
      <c r="I269" s="28"/>
      <c r="J269" s="86">
        <f t="shared" si="46"/>
        <v>266</v>
      </c>
      <c r="K269" s="80">
        <f t="shared" si="43"/>
        <v>4631.0000000000045</v>
      </c>
      <c r="M269" s="4">
        <v>200</v>
      </c>
      <c r="N269" s="5">
        <f t="shared" si="47"/>
        <v>846.1</v>
      </c>
    </row>
    <row r="270" spans="1:14" ht="16.5">
      <c r="A270" s="86">
        <f t="shared" si="39"/>
        <v>267</v>
      </c>
      <c r="B270" s="80">
        <f t="shared" si="40"/>
        <v>2887.5</v>
      </c>
      <c r="C270" s="249"/>
      <c r="D270" s="86">
        <f t="shared" si="44"/>
        <v>267</v>
      </c>
      <c r="E270" s="80">
        <f t="shared" si="41"/>
        <v>2887.5</v>
      </c>
      <c r="G270" s="86">
        <f t="shared" si="45"/>
        <v>267</v>
      </c>
      <c r="H270" s="80">
        <f t="shared" si="42"/>
        <v>4235.8000000000138</v>
      </c>
      <c r="I270" s="28"/>
      <c r="J270" s="86">
        <f t="shared" si="46"/>
        <v>267</v>
      </c>
      <c r="K270" s="80">
        <f t="shared" si="43"/>
        <v>4647.9000000000042</v>
      </c>
      <c r="M270" s="4">
        <v>200</v>
      </c>
      <c r="N270" s="5">
        <f t="shared" si="47"/>
        <v>849.1</v>
      </c>
    </row>
    <row r="271" spans="1:14" ht="16.5">
      <c r="A271" s="86">
        <f t="shared" si="39"/>
        <v>268</v>
      </c>
      <c r="B271" s="80">
        <f t="shared" si="40"/>
        <v>2898</v>
      </c>
      <c r="C271" s="249"/>
      <c r="D271" s="86">
        <f t="shared" si="44"/>
        <v>268</v>
      </c>
      <c r="E271" s="80">
        <f t="shared" si="41"/>
        <v>2898</v>
      </c>
      <c r="G271" s="86">
        <f t="shared" si="45"/>
        <v>268</v>
      </c>
      <c r="H271" s="80">
        <f t="shared" si="42"/>
        <v>4251.2000000000135</v>
      </c>
      <c r="I271" s="28"/>
      <c r="J271" s="86">
        <f t="shared" si="46"/>
        <v>268</v>
      </c>
      <c r="K271" s="80">
        <f t="shared" si="43"/>
        <v>4664.8000000000038</v>
      </c>
      <c r="M271" s="4">
        <v>200</v>
      </c>
      <c r="N271" s="5">
        <f t="shared" si="47"/>
        <v>852.1</v>
      </c>
    </row>
    <row r="272" spans="1:14" ht="16.5">
      <c r="A272" s="86">
        <f t="shared" si="39"/>
        <v>269</v>
      </c>
      <c r="B272" s="80">
        <f t="shared" si="40"/>
        <v>2908.5</v>
      </c>
      <c r="C272" s="249"/>
      <c r="D272" s="86">
        <f t="shared" si="44"/>
        <v>269</v>
      </c>
      <c r="E272" s="80">
        <f t="shared" si="41"/>
        <v>2908.5</v>
      </c>
      <c r="G272" s="86">
        <f t="shared" si="45"/>
        <v>269</v>
      </c>
      <c r="H272" s="80">
        <f t="shared" si="42"/>
        <v>4266.6000000000131</v>
      </c>
      <c r="I272" s="28"/>
      <c r="J272" s="86">
        <f t="shared" si="46"/>
        <v>269</v>
      </c>
      <c r="K272" s="80">
        <f t="shared" si="43"/>
        <v>4681.7000000000035</v>
      </c>
      <c r="M272" s="4">
        <v>200</v>
      </c>
      <c r="N272" s="5">
        <f t="shared" si="47"/>
        <v>855.1</v>
      </c>
    </row>
    <row r="273" spans="1:14" ht="16.5">
      <c r="A273" s="86">
        <f t="shared" si="39"/>
        <v>270</v>
      </c>
      <c r="B273" s="80">
        <f t="shared" si="40"/>
        <v>2919</v>
      </c>
      <c r="C273" s="249"/>
      <c r="D273" s="86">
        <f t="shared" si="44"/>
        <v>270</v>
      </c>
      <c r="E273" s="80">
        <f t="shared" si="41"/>
        <v>2919</v>
      </c>
      <c r="G273" s="86">
        <f t="shared" si="45"/>
        <v>270</v>
      </c>
      <c r="H273" s="80">
        <f t="shared" si="42"/>
        <v>4282.0000000000127</v>
      </c>
      <c r="I273" s="28"/>
      <c r="J273" s="86">
        <f t="shared" si="46"/>
        <v>270</v>
      </c>
      <c r="K273" s="80">
        <f t="shared" si="43"/>
        <v>4698.6000000000031</v>
      </c>
      <c r="M273" s="4">
        <v>200</v>
      </c>
      <c r="N273" s="5">
        <f t="shared" si="47"/>
        <v>858.1</v>
      </c>
    </row>
    <row r="274" spans="1:14" ht="16.5">
      <c r="A274" s="86">
        <f t="shared" si="39"/>
        <v>271</v>
      </c>
      <c r="B274" s="80">
        <f t="shared" si="40"/>
        <v>2929.5</v>
      </c>
      <c r="C274" s="249"/>
      <c r="D274" s="86">
        <f t="shared" si="44"/>
        <v>271</v>
      </c>
      <c r="E274" s="80">
        <f t="shared" si="41"/>
        <v>2929.5</v>
      </c>
      <c r="G274" s="86">
        <f t="shared" si="45"/>
        <v>271</v>
      </c>
      <c r="H274" s="80">
        <f t="shared" si="42"/>
        <v>4297.4000000000124</v>
      </c>
      <c r="I274" s="28"/>
      <c r="J274" s="86">
        <f t="shared" si="46"/>
        <v>271</v>
      </c>
      <c r="K274" s="80">
        <f t="shared" si="43"/>
        <v>4715.5000000000027</v>
      </c>
      <c r="M274" s="4">
        <v>200</v>
      </c>
      <c r="N274" s="5">
        <f t="shared" si="47"/>
        <v>861.1</v>
      </c>
    </row>
    <row r="275" spans="1:14" ht="16.5">
      <c r="A275" s="86">
        <f t="shared" si="39"/>
        <v>272</v>
      </c>
      <c r="B275" s="80">
        <f t="shared" si="40"/>
        <v>2940</v>
      </c>
      <c r="C275" s="249"/>
      <c r="D275" s="86">
        <f t="shared" si="44"/>
        <v>272</v>
      </c>
      <c r="E275" s="80">
        <f t="shared" si="41"/>
        <v>2940</v>
      </c>
      <c r="G275" s="86">
        <f t="shared" si="45"/>
        <v>272</v>
      </c>
      <c r="H275" s="80">
        <f t="shared" si="42"/>
        <v>4312.800000000012</v>
      </c>
      <c r="I275" s="28"/>
      <c r="J275" s="86">
        <f t="shared" si="46"/>
        <v>272</v>
      </c>
      <c r="K275" s="80">
        <f t="shared" si="43"/>
        <v>4732.4000000000024</v>
      </c>
      <c r="M275" s="4">
        <v>200</v>
      </c>
      <c r="N275" s="5">
        <f t="shared" si="47"/>
        <v>864.1</v>
      </c>
    </row>
    <row r="276" spans="1:14" ht="16.5">
      <c r="A276" s="86">
        <f t="shared" si="39"/>
        <v>273</v>
      </c>
      <c r="B276" s="80">
        <f t="shared" si="40"/>
        <v>2950.5</v>
      </c>
      <c r="C276" s="249"/>
      <c r="D276" s="86">
        <f t="shared" si="44"/>
        <v>273</v>
      </c>
      <c r="E276" s="80">
        <f t="shared" si="41"/>
        <v>2950.5</v>
      </c>
      <c r="G276" s="86">
        <f t="shared" si="45"/>
        <v>273</v>
      </c>
      <c r="H276" s="80">
        <f t="shared" si="42"/>
        <v>4328.2000000000116</v>
      </c>
      <c r="I276" s="28"/>
      <c r="J276" s="86">
        <f t="shared" si="46"/>
        <v>273</v>
      </c>
      <c r="K276" s="80">
        <f t="shared" si="43"/>
        <v>4749.300000000002</v>
      </c>
      <c r="M276" s="4">
        <v>200</v>
      </c>
      <c r="N276" s="5">
        <f t="shared" si="47"/>
        <v>867.1</v>
      </c>
    </row>
    <row r="277" spans="1:14" ht="16.5">
      <c r="A277" s="86">
        <f t="shared" si="39"/>
        <v>274</v>
      </c>
      <c r="B277" s="80">
        <f t="shared" si="40"/>
        <v>2961</v>
      </c>
      <c r="C277" s="249"/>
      <c r="D277" s="86">
        <f t="shared" si="44"/>
        <v>274</v>
      </c>
      <c r="E277" s="80">
        <f t="shared" si="41"/>
        <v>2961</v>
      </c>
      <c r="G277" s="86">
        <f t="shared" si="45"/>
        <v>274</v>
      </c>
      <c r="H277" s="80">
        <f t="shared" si="42"/>
        <v>4343.6000000000113</v>
      </c>
      <c r="I277" s="28"/>
      <c r="J277" s="86">
        <f t="shared" si="46"/>
        <v>274</v>
      </c>
      <c r="K277" s="80">
        <f t="shared" si="43"/>
        <v>4766.2000000000016</v>
      </c>
      <c r="M277" s="4">
        <v>200</v>
      </c>
      <c r="N277" s="5">
        <f t="shared" si="47"/>
        <v>870.1</v>
      </c>
    </row>
    <row r="278" spans="1:14" ht="16.5">
      <c r="A278" s="86">
        <f t="shared" si="39"/>
        <v>275</v>
      </c>
      <c r="B278" s="80">
        <f t="shared" si="40"/>
        <v>2971.5</v>
      </c>
      <c r="C278" s="249"/>
      <c r="D278" s="86">
        <f t="shared" si="44"/>
        <v>275</v>
      </c>
      <c r="E278" s="80">
        <f t="shared" si="41"/>
        <v>2971.5</v>
      </c>
      <c r="G278" s="86">
        <f t="shared" si="45"/>
        <v>275</v>
      </c>
      <c r="H278" s="80">
        <f t="shared" si="42"/>
        <v>4359.0000000000109</v>
      </c>
      <c r="I278" s="28"/>
      <c r="J278" s="86">
        <f t="shared" si="46"/>
        <v>275</v>
      </c>
      <c r="K278" s="80">
        <f t="shared" si="43"/>
        <v>4783.1000000000013</v>
      </c>
      <c r="M278" s="4">
        <v>200</v>
      </c>
      <c r="N278" s="5">
        <f t="shared" si="47"/>
        <v>873.1</v>
      </c>
    </row>
    <row r="279" spans="1:14" ht="16.5">
      <c r="A279" s="86">
        <f t="shared" si="39"/>
        <v>276</v>
      </c>
      <c r="B279" s="80">
        <f t="shared" si="40"/>
        <v>2982</v>
      </c>
      <c r="C279" s="249"/>
      <c r="D279" s="86">
        <f t="shared" si="44"/>
        <v>276</v>
      </c>
      <c r="E279" s="80">
        <f t="shared" si="41"/>
        <v>2982</v>
      </c>
      <c r="G279" s="86">
        <f t="shared" si="45"/>
        <v>276</v>
      </c>
      <c r="H279" s="80">
        <f t="shared" si="42"/>
        <v>4374.4000000000106</v>
      </c>
      <c r="I279" s="28"/>
      <c r="J279" s="86">
        <f t="shared" si="46"/>
        <v>276</v>
      </c>
      <c r="K279" s="80">
        <f t="shared" si="43"/>
        <v>4800.0000000000009</v>
      </c>
      <c r="M279" s="4">
        <v>200</v>
      </c>
      <c r="N279" s="5">
        <f t="shared" si="47"/>
        <v>876.1</v>
      </c>
    </row>
    <row r="280" spans="1:14" ht="16.5">
      <c r="A280" s="86">
        <f t="shared" si="39"/>
        <v>277</v>
      </c>
      <c r="B280" s="80">
        <f t="shared" si="40"/>
        <v>2992.5</v>
      </c>
      <c r="C280" s="249"/>
      <c r="D280" s="86">
        <f t="shared" si="44"/>
        <v>277</v>
      </c>
      <c r="E280" s="80">
        <f t="shared" si="41"/>
        <v>2992.5</v>
      </c>
      <c r="G280" s="86">
        <f t="shared" si="45"/>
        <v>277</v>
      </c>
      <c r="H280" s="80">
        <f t="shared" si="42"/>
        <v>4389.8000000000102</v>
      </c>
      <c r="I280" s="28"/>
      <c r="J280" s="86">
        <f t="shared" si="46"/>
        <v>277</v>
      </c>
      <c r="K280" s="80">
        <f t="shared" si="43"/>
        <v>4816.9000000000005</v>
      </c>
      <c r="M280" s="4">
        <v>200</v>
      </c>
      <c r="N280" s="5">
        <f t="shared" si="47"/>
        <v>879.1</v>
      </c>
    </row>
    <row r="281" spans="1:14" ht="16.5">
      <c r="A281" s="86">
        <f t="shared" si="39"/>
        <v>278</v>
      </c>
      <c r="B281" s="80">
        <f t="shared" si="40"/>
        <v>3003</v>
      </c>
      <c r="C281" s="249"/>
      <c r="D281" s="86">
        <f t="shared" si="44"/>
        <v>278</v>
      </c>
      <c r="E281" s="80">
        <f t="shared" si="41"/>
        <v>3003</v>
      </c>
      <c r="G281" s="86">
        <f t="shared" si="45"/>
        <v>278</v>
      </c>
      <c r="H281" s="80">
        <f t="shared" si="42"/>
        <v>4405.2000000000098</v>
      </c>
      <c r="I281" s="28"/>
      <c r="J281" s="86">
        <f t="shared" si="46"/>
        <v>278</v>
      </c>
      <c r="K281" s="80">
        <f t="shared" si="43"/>
        <v>4833.8</v>
      </c>
      <c r="M281" s="4">
        <v>200</v>
      </c>
      <c r="N281" s="5">
        <f t="shared" si="47"/>
        <v>882.1</v>
      </c>
    </row>
    <row r="282" spans="1:14" ht="16.5">
      <c r="A282" s="86">
        <f t="shared" si="39"/>
        <v>279</v>
      </c>
      <c r="B282" s="80">
        <f t="shared" si="40"/>
        <v>3013.5</v>
      </c>
      <c r="C282" s="249"/>
      <c r="D282" s="86">
        <f t="shared" si="44"/>
        <v>279</v>
      </c>
      <c r="E282" s="80">
        <f t="shared" si="41"/>
        <v>3013.5</v>
      </c>
      <c r="G282" s="86">
        <f t="shared" si="45"/>
        <v>279</v>
      </c>
      <c r="H282" s="80">
        <f t="shared" si="42"/>
        <v>4420.6000000000095</v>
      </c>
      <c r="I282" s="28"/>
      <c r="J282" s="86">
        <f t="shared" si="46"/>
        <v>279</v>
      </c>
      <c r="K282" s="80">
        <f t="shared" si="43"/>
        <v>4850.7</v>
      </c>
      <c r="M282" s="4">
        <v>200</v>
      </c>
      <c r="N282" s="5">
        <f t="shared" si="47"/>
        <v>885.1</v>
      </c>
    </row>
    <row r="283" spans="1:14" ht="16.5">
      <c r="A283" s="86">
        <f t="shared" si="39"/>
        <v>280</v>
      </c>
      <c r="B283" s="80">
        <f t="shared" si="40"/>
        <v>3024</v>
      </c>
      <c r="C283" s="249"/>
      <c r="D283" s="86">
        <f t="shared" si="44"/>
        <v>280</v>
      </c>
      <c r="E283" s="80">
        <f t="shared" si="41"/>
        <v>3024</v>
      </c>
      <c r="G283" s="86">
        <f t="shared" si="45"/>
        <v>280</v>
      </c>
      <c r="H283" s="80">
        <f t="shared" si="42"/>
        <v>4436.0000000000091</v>
      </c>
      <c r="I283" s="28"/>
      <c r="J283" s="86">
        <f t="shared" si="46"/>
        <v>280</v>
      </c>
      <c r="K283" s="80">
        <f t="shared" si="43"/>
        <v>4867.5999999999995</v>
      </c>
      <c r="M283" s="4">
        <v>200</v>
      </c>
      <c r="N283" s="5">
        <f t="shared" si="47"/>
        <v>888.1</v>
      </c>
    </row>
    <row r="284" spans="1:14" ht="16.5">
      <c r="A284" s="86">
        <f t="shared" si="39"/>
        <v>281</v>
      </c>
      <c r="B284" s="80">
        <f t="shared" si="40"/>
        <v>3034.5</v>
      </c>
      <c r="C284" s="249"/>
      <c r="D284" s="86">
        <f t="shared" si="44"/>
        <v>281</v>
      </c>
      <c r="E284" s="80">
        <f t="shared" si="41"/>
        <v>3034.5</v>
      </c>
      <c r="G284" s="86">
        <f t="shared" si="45"/>
        <v>281</v>
      </c>
      <c r="H284" s="80">
        <f t="shared" si="42"/>
        <v>4451.4000000000087</v>
      </c>
      <c r="I284" s="28"/>
      <c r="J284" s="86">
        <f t="shared" si="46"/>
        <v>281</v>
      </c>
      <c r="K284" s="80">
        <f t="shared" si="43"/>
        <v>4884.4999999999991</v>
      </c>
      <c r="M284" s="4">
        <v>200</v>
      </c>
      <c r="N284" s="5">
        <f t="shared" si="47"/>
        <v>891.1</v>
      </c>
    </row>
    <row r="285" spans="1:14" ht="16.5">
      <c r="A285" s="86">
        <f t="shared" si="39"/>
        <v>282</v>
      </c>
      <c r="B285" s="80">
        <f t="shared" si="40"/>
        <v>3045</v>
      </c>
      <c r="C285" s="249"/>
      <c r="D285" s="86">
        <f t="shared" si="44"/>
        <v>282</v>
      </c>
      <c r="E285" s="80">
        <f t="shared" si="41"/>
        <v>3045</v>
      </c>
      <c r="G285" s="86">
        <f t="shared" si="45"/>
        <v>282</v>
      </c>
      <c r="H285" s="80">
        <f t="shared" si="42"/>
        <v>4466.8000000000084</v>
      </c>
      <c r="I285" s="28"/>
      <c r="J285" s="86">
        <f t="shared" si="46"/>
        <v>282</v>
      </c>
      <c r="K285" s="80">
        <f t="shared" si="43"/>
        <v>4901.3999999999987</v>
      </c>
      <c r="M285" s="4">
        <v>200</v>
      </c>
      <c r="N285" s="5">
        <f t="shared" si="47"/>
        <v>894.1</v>
      </c>
    </row>
    <row r="286" spans="1:14" ht="16.5">
      <c r="A286" s="86">
        <f t="shared" si="39"/>
        <v>283</v>
      </c>
      <c r="B286" s="80">
        <f t="shared" si="40"/>
        <v>3055.5</v>
      </c>
      <c r="C286" s="249"/>
      <c r="D286" s="86">
        <f t="shared" si="44"/>
        <v>283</v>
      </c>
      <c r="E286" s="80">
        <f t="shared" si="41"/>
        <v>3055.5</v>
      </c>
      <c r="G286" s="86">
        <f t="shared" si="45"/>
        <v>283</v>
      </c>
      <c r="H286" s="80">
        <f t="shared" si="42"/>
        <v>4482.200000000008</v>
      </c>
      <c r="I286" s="28"/>
      <c r="J286" s="86">
        <f t="shared" si="46"/>
        <v>283</v>
      </c>
      <c r="K286" s="80">
        <f t="shared" si="43"/>
        <v>4918.2999999999984</v>
      </c>
      <c r="M286" s="4">
        <v>200</v>
      </c>
      <c r="N286" s="5">
        <f t="shared" si="47"/>
        <v>897.1</v>
      </c>
    </row>
    <row r="287" spans="1:14" ht="16.5">
      <c r="A287" s="86">
        <f t="shared" si="39"/>
        <v>284</v>
      </c>
      <c r="B287" s="80">
        <f t="shared" si="40"/>
        <v>3066</v>
      </c>
      <c r="C287" s="249"/>
      <c r="D287" s="86">
        <f t="shared" si="44"/>
        <v>284</v>
      </c>
      <c r="E287" s="80">
        <f t="shared" si="41"/>
        <v>3066</v>
      </c>
      <c r="G287" s="86">
        <f t="shared" si="45"/>
        <v>284</v>
      </c>
      <c r="H287" s="80">
        <f t="shared" si="42"/>
        <v>4497.6000000000076</v>
      </c>
      <c r="I287" s="28"/>
      <c r="J287" s="86">
        <f t="shared" si="46"/>
        <v>284</v>
      </c>
      <c r="K287" s="80">
        <f t="shared" si="43"/>
        <v>4935.199999999998</v>
      </c>
      <c r="M287" s="4">
        <v>200</v>
      </c>
      <c r="N287" s="5">
        <f t="shared" si="47"/>
        <v>900.1</v>
      </c>
    </row>
    <row r="288" spans="1:14" ht="16.5">
      <c r="A288" s="86">
        <f t="shared" si="39"/>
        <v>285</v>
      </c>
      <c r="B288" s="80">
        <f t="shared" si="40"/>
        <v>3076.5</v>
      </c>
      <c r="C288" s="249"/>
      <c r="D288" s="86">
        <f t="shared" si="44"/>
        <v>285</v>
      </c>
      <c r="E288" s="80">
        <f t="shared" si="41"/>
        <v>3076.5</v>
      </c>
      <c r="G288" s="86">
        <f t="shared" si="45"/>
        <v>285</v>
      </c>
      <c r="H288" s="80">
        <f t="shared" si="42"/>
        <v>4513.0000000000073</v>
      </c>
      <c r="I288" s="28"/>
      <c r="J288" s="86">
        <f t="shared" si="46"/>
        <v>285</v>
      </c>
      <c r="K288" s="80">
        <f t="shared" si="43"/>
        <v>4952.0999999999976</v>
      </c>
      <c r="M288" s="4">
        <v>200</v>
      </c>
      <c r="N288" s="5">
        <f t="shared" si="47"/>
        <v>903.1</v>
      </c>
    </row>
    <row r="289" spans="1:14" ht="16.5">
      <c r="A289" s="86">
        <f t="shared" si="39"/>
        <v>286</v>
      </c>
      <c r="B289" s="80">
        <f t="shared" si="40"/>
        <v>3087</v>
      </c>
      <c r="C289" s="249"/>
      <c r="D289" s="86">
        <f t="shared" si="44"/>
        <v>286</v>
      </c>
      <c r="E289" s="80">
        <f t="shared" si="41"/>
        <v>3087</v>
      </c>
      <c r="G289" s="86">
        <f t="shared" si="45"/>
        <v>286</v>
      </c>
      <c r="H289" s="80">
        <f t="shared" si="42"/>
        <v>4528.4000000000069</v>
      </c>
      <c r="I289" s="28"/>
      <c r="J289" s="86">
        <f t="shared" si="46"/>
        <v>286</v>
      </c>
      <c r="K289" s="80">
        <f t="shared" si="43"/>
        <v>4968.9999999999973</v>
      </c>
      <c r="M289" s="4">
        <v>200</v>
      </c>
      <c r="N289" s="5">
        <f t="shared" si="47"/>
        <v>906.1</v>
      </c>
    </row>
    <row r="290" spans="1:14" ht="16.5">
      <c r="A290" s="86">
        <f t="shared" si="39"/>
        <v>287</v>
      </c>
      <c r="B290" s="80">
        <f t="shared" si="40"/>
        <v>3097.5</v>
      </c>
      <c r="C290" s="249"/>
      <c r="D290" s="86">
        <f t="shared" si="44"/>
        <v>287</v>
      </c>
      <c r="E290" s="80">
        <f t="shared" si="41"/>
        <v>3097.5</v>
      </c>
      <c r="G290" s="86">
        <f t="shared" si="45"/>
        <v>287</v>
      </c>
      <c r="H290" s="80">
        <f t="shared" si="42"/>
        <v>4543.8000000000065</v>
      </c>
      <c r="I290" s="28"/>
      <c r="J290" s="86">
        <f t="shared" si="46"/>
        <v>287</v>
      </c>
      <c r="K290" s="80">
        <f t="shared" si="43"/>
        <v>4985.8999999999969</v>
      </c>
      <c r="M290" s="4">
        <v>200</v>
      </c>
      <c r="N290" s="5">
        <f t="shared" si="47"/>
        <v>909.1</v>
      </c>
    </row>
    <row r="291" spans="1:14" ht="16.5">
      <c r="A291" s="86">
        <f t="shared" ref="A291:A303" si="48">A290+1</f>
        <v>288</v>
      </c>
      <c r="B291" s="80">
        <f t="shared" ref="B291:B303" si="49">B290+10.5</f>
        <v>3108</v>
      </c>
      <c r="C291" s="249"/>
      <c r="D291" s="86">
        <f t="shared" si="44"/>
        <v>288</v>
      </c>
      <c r="E291" s="80">
        <f t="shared" ref="E291:E303" si="50">E290+10.5</f>
        <v>3108</v>
      </c>
      <c r="G291" s="86">
        <f t="shared" si="45"/>
        <v>288</v>
      </c>
      <c r="H291" s="80">
        <f t="shared" ref="H291:H303" si="51">H290+15.4</f>
        <v>4559.2000000000062</v>
      </c>
      <c r="I291" s="28"/>
      <c r="J291" s="86">
        <f t="shared" si="46"/>
        <v>288</v>
      </c>
      <c r="K291" s="80">
        <f t="shared" ref="K291:K303" si="52">K290+16.9</f>
        <v>5002.7999999999965</v>
      </c>
      <c r="M291" s="4">
        <v>200</v>
      </c>
      <c r="N291" s="5">
        <f t="shared" si="47"/>
        <v>912.1</v>
      </c>
    </row>
    <row r="292" spans="1:14" ht="16.5">
      <c r="A292" s="86">
        <f t="shared" si="48"/>
        <v>289</v>
      </c>
      <c r="B292" s="80">
        <f t="shared" si="49"/>
        <v>3118.5</v>
      </c>
      <c r="C292" s="249"/>
      <c r="D292" s="86">
        <f t="shared" si="44"/>
        <v>289</v>
      </c>
      <c r="E292" s="80">
        <f t="shared" si="50"/>
        <v>3118.5</v>
      </c>
      <c r="G292" s="86">
        <f t="shared" si="45"/>
        <v>289</v>
      </c>
      <c r="H292" s="80">
        <f t="shared" si="51"/>
        <v>4574.6000000000058</v>
      </c>
      <c r="I292" s="28"/>
      <c r="J292" s="86">
        <f t="shared" si="46"/>
        <v>289</v>
      </c>
      <c r="K292" s="80">
        <f t="shared" si="52"/>
        <v>5019.6999999999962</v>
      </c>
      <c r="M292" s="4">
        <v>200</v>
      </c>
      <c r="N292" s="5">
        <f t="shared" si="47"/>
        <v>915.1</v>
      </c>
    </row>
    <row r="293" spans="1:14" ht="16.5">
      <c r="A293" s="86">
        <f t="shared" si="48"/>
        <v>290</v>
      </c>
      <c r="B293" s="80">
        <f t="shared" si="49"/>
        <v>3129</v>
      </c>
      <c r="C293" s="249"/>
      <c r="D293" s="86">
        <f t="shared" si="44"/>
        <v>290</v>
      </c>
      <c r="E293" s="80">
        <f t="shared" si="50"/>
        <v>3129</v>
      </c>
      <c r="G293" s="86">
        <f t="shared" si="45"/>
        <v>290</v>
      </c>
      <c r="H293" s="80">
        <f t="shared" si="51"/>
        <v>4590.0000000000055</v>
      </c>
      <c r="I293" s="28"/>
      <c r="J293" s="86">
        <f t="shared" si="46"/>
        <v>290</v>
      </c>
      <c r="K293" s="80">
        <f t="shared" si="52"/>
        <v>5036.5999999999958</v>
      </c>
      <c r="M293" s="4">
        <v>200</v>
      </c>
      <c r="N293" s="5">
        <f t="shared" si="47"/>
        <v>918.1</v>
      </c>
    </row>
    <row r="294" spans="1:14" ht="16.5">
      <c r="A294" s="86">
        <f t="shared" si="48"/>
        <v>291</v>
      </c>
      <c r="B294" s="80">
        <f t="shared" si="49"/>
        <v>3139.5</v>
      </c>
      <c r="C294" s="249"/>
      <c r="D294" s="86">
        <f t="shared" si="44"/>
        <v>291</v>
      </c>
      <c r="E294" s="80">
        <f t="shared" si="50"/>
        <v>3139.5</v>
      </c>
      <c r="G294" s="86">
        <f t="shared" si="45"/>
        <v>291</v>
      </c>
      <c r="H294" s="80">
        <f t="shared" si="51"/>
        <v>4605.4000000000051</v>
      </c>
      <c r="I294" s="28"/>
      <c r="J294" s="86">
        <f t="shared" si="46"/>
        <v>291</v>
      </c>
      <c r="K294" s="80">
        <f t="shared" si="52"/>
        <v>5053.4999999999955</v>
      </c>
      <c r="M294" s="4">
        <v>200</v>
      </c>
      <c r="N294" s="5">
        <f t="shared" si="47"/>
        <v>921.1</v>
      </c>
    </row>
    <row r="295" spans="1:14" ht="16.5">
      <c r="A295" s="86">
        <f t="shared" si="48"/>
        <v>292</v>
      </c>
      <c r="B295" s="80">
        <f t="shared" si="49"/>
        <v>3150</v>
      </c>
      <c r="C295" s="249"/>
      <c r="D295" s="86">
        <f t="shared" si="44"/>
        <v>292</v>
      </c>
      <c r="E295" s="80">
        <f t="shared" si="50"/>
        <v>3150</v>
      </c>
      <c r="G295" s="86">
        <f t="shared" si="45"/>
        <v>292</v>
      </c>
      <c r="H295" s="80">
        <f t="shared" si="51"/>
        <v>4620.8000000000047</v>
      </c>
      <c r="I295" s="28"/>
      <c r="J295" s="86">
        <f t="shared" si="46"/>
        <v>292</v>
      </c>
      <c r="K295" s="80">
        <f t="shared" si="52"/>
        <v>5070.3999999999951</v>
      </c>
      <c r="M295" s="4">
        <v>200</v>
      </c>
      <c r="N295" s="5">
        <f t="shared" si="47"/>
        <v>924.1</v>
      </c>
    </row>
    <row r="296" spans="1:14" ht="16.5">
      <c r="A296" s="86">
        <f t="shared" si="48"/>
        <v>293</v>
      </c>
      <c r="B296" s="80">
        <f t="shared" si="49"/>
        <v>3160.5</v>
      </c>
      <c r="C296" s="249"/>
      <c r="D296" s="86">
        <f t="shared" si="44"/>
        <v>293</v>
      </c>
      <c r="E296" s="80">
        <f t="shared" si="50"/>
        <v>3160.5</v>
      </c>
      <c r="G296" s="86">
        <f t="shared" si="45"/>
        <v>293</v>
      </c>
      <c r="H296" s="80">
        <f t="shared" si="51"/>
        <v>4636.2000000000044</v>
      </c>
      <c r="I296" s="28"/>
      <c r="J296" s="86">
        <f t="shared" si="46"/>
        <v>293</v>
      </c>
      <c r="K296" s="80">
        <f t="shared" si="52"/>
        <v>5087.2999999999947</v>
      </c>
      <c r="M296" s="4">
        <v>200</v>
      </c>
      <c r="N296" s="5">
        <f t="shared" si="47"/>
        <v>927.1</v>
      </c>
    </row>
    <row r="297" spans="1:14" ht="16.5">
      <c r="A297" s="86">
        <f t="shared" si="48"/>
        <v>294</v>
      </c>
      <c r="B297" s="80">
        <f t="shared" si="49"/>
        <v>3171</v>
      </c>
      <c r="C297" s="249"/>
      <c r="D297" s="86">
        <f t="shared" si="44"/>
        <v>294</v>
      </c>
      <c r="E297" s="80">
        <f t="shared" si="50"/>
        <v>3171</v>
      </c>
      <c r="G297" s="86">
        <f t="shared" si="45"/>
        <v>294</v>
      </c>
      <c r="H297" s="80">
        <f t="shared" si="51"/>
        <v>4651.600000000004</v>
      </c>
      <c r="I297" s="28"/>
      <c r="J297" s="86">
        <f t="shared" si="46"/>
        <v>294</v>
      </c>
      <c r="K297" s="80">
        <f t="shared" si="52"/>
        <v>5104.1999999999944</v>
      </c>
      <c r="M297" s="4">
        <v>200</v>
      </c>
      <c r="N297" s="5">
        <f t="shared" si="47"/>
        <v>930.1</v>
      </c>
    </row>
    <row r="298" spans="1:14" ht="16.5">
      <c r="A298" s="86">
        <f t="shared" si="48"/>
        <v>295</v>
      </c>
      <c r="B298" s="80">
        <f t="shared" si="49"/>
        <v>3181.5</v>
      </c>
      <c r="C298" s="249"/>
      <c r="D298" s="86">
        <f t="shared" si="44"/>
        <v>295</v>
      </c>
      <c r="E298" s="80">
        <f t="shared" si="50"/>
        <v>3181.5</v>
      </c>
      <c r="G298" s="86">
        <f t="shared" si="45"/>
        <v>295</v>
      </c>
      <c r="H298" s="80">
        <f t="shared" si="51"/>
        <v>4667.0000000000036</v>
      </c>
      <c r="I298" s="28"/>
      <c r="J298" s="86">
        <f t="shared" si="46"/>
        <v>295</v>
      </c>
      <c r="K298" s="80">
        <f t="shared" si="52"/>
        <v>5121.099999999994</v>
      </c>
      <c r="M298" s="4">
        <v>200</v>
      </c>
      <c r="N298" s="5">
        <f t="shared" si="47"/>
        <v>933.1</v>
      </c>
    </row>
    <row r="299" spans="1:14" ht="16.5">
      <c r="A299" s="86">
        <f t="shared" si="48"/>
        <v>296</v>
      </c>
      <c r="B299" s="80">
        <f t="shared" si="49"/>
        <v>3192</v>
      </c>
      <c r="C299" s="249"/>
      <c r="D299" s="86">
        <f t="shared" si="44"/>
        <v>296</v>
      </c>
      <c r="E299" s="80">
        <f t="shared" si="50"/>
        <v>3192</v>
      </c>
      <c r="G299" s="86">
        <f t="shared" si="45"/>
        <v>296</v>
      </c>
      <c r="H299" s="80">
        <f t="shared" si="51"/>
        <v>4682.4000000000033</v>
      </c>
      <c r="I299" s="28"/>
      <c r="J299" s="86">
        <f t="shared" si="46"/>
        <v>296</v>
      </c>
      <c r="K299" s="80">
        <f t="shared" si="52"/>
        <v>5137.9999999999936</v>
      </c>
      <c r="M299" s="4">
        <v>200</v>
      </c>
      <c r="N299" s="5">
        <f t="shared" si="47"/>
        <v>936.1</v>
      </c>
    </row>
    <row r="300" spans="1:14" ht="16.5">
      <c r="A300" s="86">
        <f t="shared" si="48"/>
        <v>297</v>
      </c>
      <c r="B300" s="80">
        <f t="shared" si="49"/>
        <v>3202.5</v>
      </c>
      <c r="C300" s="249"/>
      <c r="D300" s="86">
        <f t="shared" si="44"/>
        <v>297</v>
      </c>
      <c r="E300" s="80">
        <f t="shared" si="50"/>
        <v>3202.5</v>
      </c>
      <c r="G300" s="86">
        <f t="shared" si="45"/>
        <v>297</v>
      </c>
      <c r="H300" s="80">
        <f t="shared" si="51"/>
        <v>4697.8000000000029</v>
      </c>
      <c r="I300" s="28"/>
      <c r="J300" s="86">
        <f t="shared" si="46"/>
        <v>297</v>
      </c>
      <c r="K300" s="80">
        <f t="shared" si="52"/>
        <v>5154.8999999999933</v>
      </c>
      <c r="M300" s="4">
        <v>200</v>
      </c>
      <c r="N300" s="5">
        <f t="shared" si="47"/>
        <v>939.1</v>
      </c>
    </row>
    <row r="301" spans="1:14" ht="16.5">
      <c r="A301" s="86">
        <f t="shared" si="48"/>
        <v>298</v>
      </c>
      <c r="B301" s="80">
        <f t="shared" si="49"/>
        <v>3213</v>
      </c>
      <c r="C301" s="249"/>
      <c r="D301" s="86">
        <f t="shared" si="44"/>
        <v>298</v>
      </c>
      <c r="E301" s="80">
        <f t="shared" si="50"/>
        <v>3213</v>
      </c>
      <c r="G301" s="86">
        <f t="shared" si="45"/>
        <v>298</v>
      </c>
      <c r="H301" s="80">
        <f t="shared" si="51"/>
        <v>4713.2000000000025</v>
      </c>
      <c r="I301" s="28"/>
      <c r="J301" s="86">
        <f t="shared" si="46"/>
        <v>298</v>
      </c>
      <c r="K301" s="80">
        <f t="shared" si="52"/>
        <v>5171.7999999999929</v>
      </c>
      <c r="M301" s="4">
        <v>200</v>
      </c>
      <c r="N301" s="5">
        <f t="shared" si="47"/>
        <v>942.1</v>
      </c>
    </row>
    <row r="302" spans="1:14" ht="16.5">
      <c r="A302" s="86">
        <f t="shared" si="48"/>
        <v>299</v>
      </c>
      <c r="B302" s="80">
        <f t="shared" si="49"/>
        <v>3223.5</v>
      </c>
      <c r="C302" s="249"/>
      <c r="D302" s="86">
        <f t="shared" si="44"/>
        <v>299</v>
      </c>
      <c r="E302" s="80">
        <f t="shared" si="50"/>
        <v>3223.5</v>
      </c>
      <c r="G302" s="86">
        <f t="shared" si="45"/>
        <v>299</v>
      </c>
      <c r="H302" s="80">
        <f t="shared" si="51"/>
        <v>4728.6000000000022</v>
      </c>
      <c r="I302" s="28"/>
      <c r="J302" s="86">
        <f t="shared" si="46"/>
        <v>299</v>
      </c>
      <c r="K302" s="80">
        <f t="shared" si="52"/>
        <v>5188.6999999999925</v>
      </c>
      <c r="M302" s="4">
        <v>200</v>
      </c>
      <c r="N302" s="5">
        <f>N301+3</f>
        <v>945.1</v>
      </c>
    </row>
    <row r="303" spans="1:14" ht="16.5">
      <c r="A303" s="86">
        <f t="shared" si="48"/>
        <v>300</v>
      </c>
      <c r="B303" s="80">
        <f t="shared" si="49"/>
        <v>3234</v>
      </c>
      <c r="C303" s="249"/>
      <c r="D303" s="86">
        <f t="shared" si="44"/>
        <v>300</v>
      </c>
      <c r="E303" s="80">
        <f t="shared" si="50"/>
        <v>3234</v>
      </c>
      <c r="G303" s="86">
        <f t="shared" si="45"/>
        <v>300</v>
      </c>
      <c r="H303" s="80">
        <f t="shared" si="51"/>
        <v>4744.0000000000018</v>
      </c>
      <c r="I303" s="28"/>
      <c r="J303" s="86">
        <f t="shared" si="46"/>
        <v>300</v>
      </c>
      <c r="K303" s="80">
        <f t="shared" si="52"/>
        <v>5205.5999999999922</v>
      </c>
      <c r="M303" s="4">
        <v>200</v>
      </c>
      <c r="N303" s="5">
        <f>N302+3</f>
        <v>948.1</v>
      </c>
    </row>
  </sheetData>
  <sheetProtection password="D4B2" sheet="1"/>
  <mergeCells count="5">
    <mergeCell ref="A1:K1"/>
    <mergeCell ref="J2:K2"/>
    <mergeCell ref="G2:H2"/>
    <mergeCell ref="D2:E2"/>
    <mergeCell ref="A2:B2"/>
  </mergeCells>
  <phoneticPr fontId="15" type="noConversion"/>
  <pageMargins left="0.75" right="0.75" top="1" bottom="1" header="0.5" footer="0.5"/>
  <pageSetup orientation="portrait" r:id="rId1"/>
  <headerFooter alignWithMargins="0"/>
</worksheet>
</file>

<file path=xl/worksheets/sheet20.xml><?xml version="1.0" encoding="utf-8"?>
<worksheet xmlns="http://schemas.openxmlformats.org/spreadsheetml/2006/main" xmlns:r="http://schemas.openxmlformats.org/officeDocument/2006/relationships">
  <dimension ref="A1:G32"/>
  <sheetViews>
    <sheetView zoomScale="75" workbookViewId="0">
      <selection activeCell="B6" sqref="B6:F6"/>
    </sheetView>
  </sheetViews>
  <sheetFormatPr defaultColWidth="10.140625" defaultRowHeight="16.5"/>
  <cols>
    <col min="1" max="1" width="5.85546875" style="41" customWidth="1"/>
    <col min="2" max="2" width="30.7109375" style="41" customWidth="1"/>
    <col min="3" max="3" width="24.42578125" style="66" customWidth="1"/>
    <col min="4" max="4" width="27.85546875" style="41" customWidth="1"/>
    <col min="5" max="5" width="19.5703125" style="66" customWidth="1"/>
    <col min="6" max="6" width="15.5703125" style="66" customWidth="1"/>
    <col min="7" max="7" width="4.85546875" style="41" customWidth="1"/>
    <col min="8" max="16384" width="10.140625" style="41"/>
  </cols>
  <sheetData>
    <row r="1" spans="1:7" ht="30.75" customHeight="1">
      <c r="A1" s="68" t="s">
        <v>268</v>
      </c>
      <c r="B1" s="39"/>
      <c r="C1" s="39"/>
      <c r="D1" s="39"/>
      <c r="E1" s="39"/>
      <c r="F1" s="39"/>
      <c r="G1" s="40"/>
    </row>
    <row r="2" spans="1:7" ht="59.25" customHeight="1">
      <c r="B2" s="69"/>
      <c r="C2" s="42"/>
      <c r="D2" s="42"/>
      <c r="E2" s="42"/>
      <c r="F2" s="42"/>
      <c r="G2" s="43"/>
    </row>
    <row r="3" spans="1:7" s="46" customFormat="1" ht="18">
      <c r="A3" s="44"/>
      <c r="B3" s="45"/>
      <c r="E3" s="47" t="s">
        <v>30</v>
      </c>
      <c r="F3" s="48" t="s">
        <v>141</v>
      </c>
      <c r="G3" s="49"/>
    </row>
    <row r="4" spans="1:7" s="50" customFormat="1"/>
    <row r="5" spans="1:7" s="50" customFormat="1" ht="45" customHeight="1">
      <c r="B5" s="1634" t="s">
        <v>139</v>
      </c>
      <c r="C5" s="1634"/>
      <c r="D5" s="1634"/>
      <c r="E5" s="1634"/>
      <c r="F5" s="1634"/>
    </row>
    <row r="6" spans="1:7" s="50" customFormat="1" ht="150" customHeight="1">
      <c r="B6" s="1634"/>
      <c r="C6" s="1634"/>
      <c r="D6" s="1634"/>
      <c r="E6" s="1634"/>
      <c r="F6" s="1634"/>
    </row>
    <row r="7" spans="1:7" s="53" customFormat="1" ht="59.25" customHeight="1">
      <c r="A7" s="51">
        <v>1</v>
      </c>
      <c r="B7" s="1634" t="s">
        <v>153</v>
      </c>
      <c r="C7" s="1634"/>
      <c r="D7" s="1634"/>
      <c r="E7" s="1634"/>
      <c r="F7" s="1634"/>
      <c r="G7" s="54"/>
    </row>
    <row r="8" spans="1:7" s="53" customFormat="1" ht="44.25" customHeight="1">
      <c r="A8" s="51">
        <v>2</v>
      </c>
      <c r="B8" s="1635" t="s">
        <v>140</v>
      </c>
      <c r="C8" s="1635"/>
      <c r="D8" s="1635"/>
      <c r="E8" s="1635"/>
      <c r="F8" s="1635"/>
      <c r="G8" s="51"/>
    </row>
    <row r="9" spans="1:7" s="53" customFormat="1" ht="30.75" customHeight="1">
      <c r="A9" s="55">
        <v>3</v>
      </c>
      <c r="B9" s="1635" t="s">
        <v>240</v>
      </c>
      <c r="C9" s="1635"/>
      <c r="D9" s="1635"/>
      <c r="E9" s="1635"/>
      <c r="F9" s="1635"/>
      <c r="G9" s="54"/>
    </row>
    <row r="10" spans="1:7" s="56" customFormat="1" ht="41.25" customHeight="1">
      <c r="A10" s="52">
        <v>4</v>
      </c>
      <c r="B10" s="1632" t="s">
        <v>142</v>
      </c>
      <c r="C10" s="1632"/>
      <c r="D10" s="1632"/>
      <c r="E10" s="1632"/>
      <c r="F10" s="1632"/>
      <c r="G10" s="54"/>
    </row>
    <row r="11" spans="1:7" s="56" customFormat="1" ht="85.5" customHeight="1">
      <c r="A11" s="52">
        <v>5</v>
      </c>
      <c r="B11" s="1632" t="s">
        <v>134</v>
      </c>
      <c r="C11" s="1632"/>
      <c r="D11" s="1632"/>
      <c r="E11" s="1632"/>
      <c r="F11" s="1632"/>
      <c r="G11" s="54"/>
    </row>
    <row r="12" spans="1:7" s="56" customFormat="1" ht="40.5" customHeight="1">
      <c r="A12" s="52">
        <f>A11+1</f>
        <v>6</v>
      </c>
      <c r="B12" s="1632" t="s">
        <v>305</v>
      </c>
      <c r="C12" s="1632"/>
      <c r="D12" s="1632"/>
      <c r="E12" s="1632"/>
      <c r="F12" s="1632"/>
      <c r="G12" s="54"/>
    </row>
    <row r="13" spans="1:7" s="56" customFormat="1" ht="24.75" customHeight="1">
      <c r="A13" s="52">
        <v>9</v>
      </c>
      <c r="B13" s="37" t="s">
        <v>80</v>
      </c>
      <c r="C13" s="37"/>
      <c r="D13" s="37"/>
      <c r="E13" s="37"/>
      <c r="F13" s="37"/>
      <c r="G13" s="54"/>
    </row>
    <row r="14" spans="1:7" s="56" customFormat="1" ht="24.75" customHeight="1">
      <c r="A14" s="52">
        <f>A13+1</f>
        <v>10</v>
      </c>
      <c r="B14" s="36" t="s">
        <v>31</v>
      </c>
      <c r="C14" s="36"/>
      <c r="D14" s="36"/>
      <c r="E14" s="36"/>
      <c r="F14" s="36"/>
      <c r="G14" s="54"/>
    </row>
    <row r="15" spans="1:7" s="59" customFormat="1" ht="16.5" hidden="1" customHeight="1">
      <c r="A15" s="57">
        <v>29</v>
      </c>
      <c r="B15" s="1631" t="str">
        <f>[41]EST!C102</f>
        <v>S&amp;F of MS Name board of size 2'.6"x4' including painting and required lettering</v>
      </c>
      <c r="C15" s="1631"/>
      <c r="D15" s="1631"/>
      <c r="E15" s="1631"/>
      <c r="F15" s="1631"/>
      <c r="G15" s="58"/>
    </row>
    <row r="16" spans="1:7">
      <c r="B16" s="60"/>
      <c r="C16" s="41"/>
      <c r="D16" s="61"/>
      <c r="E16" s="61"/>
      <c r="F16" s="62"/>
    </row>
    <row r="17" spans="1:7" s="64" customFormat="1" ht="16.5" customHeight="1">
      <c r="A17" s="63"/>
      <c r="B17" s="1633" t="s">
        <v>514</v>
      </c>
      <c r="C17" s="1633"/>
      <c r="D17" s="1633"/>
      <c r="E17" s="1633"/>
      <c r="F17" s="1633"/>
    </row>
    <row r="18" spans="1:7" s="50" customFormat="1"/>
    <row r="19" spans="1:7" s="50" customFormat="1"/>
    <row r="20" spans="1:7" s="50" customFormat="1"/>
    <row r="21" spans="1:7" s="60" customFormat="1">
      <c r="B21" s="65">
        <f>Lead!$B$47</f>
        <v>0</v>
      </c>
      <c r="E21" s="65">
        <f>Lead!K47</f>
        <v>0</v>
      </c>
      <c r="F21" s="62"/>
      <c r="G21" s="70"/>
    </row>
    <row r="22" spans="1:7" s="60" customFormat="1">
      <c r="B22" s="65">
        <f>Lead!$B$48</f>
        <v>0</v>
      </c>
      <c r="E22" s="65">
        <f>Lead!$K$48</f>
        <v>0</v>
      </c>
      <c r="F22" s="62"/>
      <c r="G22" s="70"/>
    </row>
    <row r="23" spans="1:7" s="60" customFormat="1">
      <c r="C23" s="65"/>
      <c r="E23" s="65"/>
      <c r="F23" s="65"/>
      <c r="G23" s="61"/>
    </row>
    <row r="26" spans="1:7">
      <c r="B26" s="66">
        <f>Lead!$R$47</f>
        <v>0</v>
      </c>
    </row>
    <row r="27" spans="1:7">
      <c r="B27" s="66">
        <f>Lead!$R$48</f>
        <v>0</v>
      </c>
    </row>
    <row r="30" spans="1:7" s="56" customFormat="1" ht="30.75" customHeight="1">
      <c r="A30" s="67">
        <v>18</v>
      </c>
      <c r="B30" s="1503"/>
      <c r="C30" s="1503"/>
      <c r="D30" s="1503"/>
      <c r="E30" s="1503"/>
      <c r="F30" s="1503"/>
      <c r="G30" s="54"/>
    </row>
    <row r="31" spans="1:7" s="56" customFormat="1" ht="61.5" customHeight="1">
      <c r="A31" s="67">
        <v>19</v>
      </c>
      <c r="B31" s="1503"/>
      <c r="C31" s="1503"/>
      <c r="D31" s="1503"/>
      <c r="E31" s="1503"/>
      <c r="F31" s="1503"/>
      <c r="G31" s="54"/>
    </row>
    <row r="32" spans="1:7" s="56" customFormat="1" ht="30.75" customHeight="1">
      <c r="A32" s="67">
        <v>20</v>
      </c>
      <c r="B32" s="1503"/>
      <c r="C32" s="1503"/>
      <c r="D32" s="1503"/>
      <c r="E32" s="1503"/>
      <c r="F32" s="1503"/>
      <c r="G32" s="54"/>
    </row>
  </sheetData>
  <mergeCells count="13">
    <mergeCell ref="B6:F6"/>
    <mergeCell ref="B5:F5"/>
    <mergeCell ref="B11:F11"/>
    <mergeCell ref="B12:F12"/>
    <mergeCell ref="B7:F7"/>
    <mergeCell ref="B8:F8"/>
    <mergeCell ref="B9:F9"/>
    <mergeCell ref="B15:F15"/>
    <mergeCell ref="B10:F10"/>
    <mergeCell ref="B32:F32"/>
    <mergeCell ref="B17:F17"/>
    <mergeCell ref="B30:F30"/>
    <mergeCell ref="B31:F31"/>
  </mergeCells>
  <phoneticPr fontId="9" type="noConversion"/>
  <printOptions horizontalCentered="1"/>
  <pageMargins left="0.5" right="0.25" top="0.75" bottom="0.4" header="0.5" footer="0.5"/>
  <pageSetup paperSize="9" scale="75" orientation="portrait" r:id="rId1"/>
  <headerFooter alignWithMargins="0"/>
</worksheet>
</file>

<file path=xl/worksheets/sheet21.xml><?xml version="1.0" encoding="utf-8"?>
<worksheet xmlns="http://schemas.openxmlformats.org/spreadsheetml/2006/main" xmlns:r="http://schemas.openxmlformats.org/officeDocument/2006/relationships">
  <dimension ref="B4:J63"/>
  <sheetViews>
    <sheetView workbookViewId="0">
      <selection activeCell="D48" sqref="D48:H63"/>
    </sheetView>
  </sheetViews>
  <sheetFormatPr defaultRowHeight="12.75"/>
  <cols>
    <col min="4" max="4" width="43.7109375" customWidth="1"/>
    <col min="10" max="10" width="14.7109375" customWidth="1"/>
  </cols>
  <sheetData>
    <row r="4" spans="2:10" ht="25.5">
      <c r="B4" s="242" t="s">
        <v>45</v>
      </c>
      <c r="C4" s="243" t="s">
        <v>46</v>
      </c>
      <c r="D4" s="242" t="s">
        <v>100</v>
      </c>
      <c r="E4" s="242" t="s">
        <v>9</v>
      </c>
      <c r="F4" s="244" t="s">
        <v>97</v>
      </c>
      <c r="G4" s="245" t="s">
        <v>47</v>
      </c>
      <c r="H4" s="245" t="s">
        <v>48</v>
      </c>
    </row>
    <row r="7" spans="2:10" ht="99.75" customHeight="1">
      <c r="D7" s="288" t="s">
        <v>531</v>
      </c>
      <c r="E7" s="288"/>
      <c r="F7" s="288"/>
      <c r="G7" s="288"/>
      <c r="H7" s="288"/>
      <c r="I7" s="288"/>
      <c r="J7" s="288"/>
    </row>
    <row r="8" spans="2:10">
      <c r="E8" t="s">
        <v>532</v>
      </c>
      <c r="F8">
        <v>10</v>
      </c>
      <c r="G8" t="s">
        <v>109</v>
      </c>
    </row>
    <row r="9" spans="2:10">
      <c r="D9" t="s">
        <v>533</v>
      </c>
    </row>
    <row r="10" spans="2:10">
      <c r="D10" t="s">
        <v>534</v>
      </c>
      <c r="E10">
        <v>0</v>
      </c>
      <c r="F10" t="s">
        <v>10</v>
      </c>
      <c r="G10">
        <v>468.8</v>
      </c>
      <c r="H10">
        <v>1</v>
      </c>
      <c r="I10" t="s">
        <v>10</v>
      </c>
      <c r="J10">
        <v>0</v>
      </c>
    </row>
    <row r="11" spans="2:10">
      <c r="D11" t="s">
        <v>535</v>
      </c>
      <c r="E11">
        <v>5.2</v>
      </c>
      <c r="F11" t="s">
        <v>10</v>
      </c>
      <c r="G11">
        <v>400</v>
      </c>
      <c r="H11">
        <v>1</v>
      </c>
      <c r="I11" t="s">
        <v>10</v>
      </c>
      <c r="J11">
        <v>2080</v>
      </c>
    </row>
    <row r="12" spans="2:10">
      <c r="D12" t="s">
        <v>379</v>
      </c>
    </row>
    <row r="13" spans="2:10">
      <c r="D13" t="s">
        <v>536</v>
      </c>
      <c r="E13">
        <v>6</v>
      </c>
      <c r="F13" t="s">
        <v>89</v>
      </c>
      <c r="G13">
        <v>1145.1000000000001</v>
      </c>
      <c r="H13">
        <v>1</v>
      </c>
      <c r="I13" t="s">
        <v>89</v>
      </c>
      <c r="J13">
        <v>6870.6</v>
      </c>
    </row>
    <row r="14" spans="2:10">
      <c r="D14" t="s">
        <v>537</v>
      </c>
      <c r="J14">
        <v>8950.6</v>
      </c>
    </row>
    <row r="15" spans="2:10">
      <c r="D15" t="s">
        <v>538</v>
      </c>
      <c r="E15">
        <v>0.13614999999999999</v>
      </c>
      <c r="J15">
        <v>1218.6199999999999</v>
      </c>
    </row>
    <row r="16" spans="2:10">
      <c r="D16" t="s">
        <v>539</v>
      </c>
      <c r="J16">
        <v>10169.220000000001</v>
      </c>
    </row>
    <row r="17" spans="4:10">
      <c r="D17" t="s">
        <v>540</v>
      </c>
      <c r="J17">
        <v>1016.92</v>
      </c>
    </row>
    <row r="18" spans="4:10">
      <c r="D18" t="s">
        <v>541</v>
      </c>
      <c r="E18">
        <v>0</v>
      </c>
      <c r="J18">
        <v>0</v>
      </c>
    </row>
    <row r="19" spans="4:10">
      <c r="D19" t="s">
        <v>542</v>
      </c>
      <c r="J19">
        <v>1016.92</v>
      </c>
    </row>
    <row r="22" spans="4:10" ht="89.25">
      <c r="D22" s="288" t="s">
        <v>552</v>
      </c>
    </row>
    <row r="23" spans="4:10">
      <c r="D23" t="s">
        <v>543</v>
      </c>
      <c r="E23" t="s">
        <v>532</v>
      </c>
      <c r="F23" t="s">
        <v>109</v>
      </c>
    </row>
    <row r="24" spans="4:10">
      <c r="D24" t="s">
        <v>544</v>
      </c>
    </row>
    <row r="25" spans="4:10">
      <c r="D25" t="s">
        <v>545</v>
      </c>
      <c r="E25">
        <v>1</v>
      </c>
      <c r="F25">
        <v>495.27</v>
      </c>
      <c r="G25" t="s">
        <v>109</v>
      </c>
      <c r="H25">
        <v>495.27</v>
      </c>
    </row>
    <row r="26" spans="4:10">
      <c r="D26" t="s">
        <v>551</v>
      </c>
    </row>
    <row r="27" spans="4:10">
      <c r="D27" t="s">
        <v>534</v>
      </c>
      <c r="E27">
        <v>0</v>
      </c>
      <c r="F27">
        <v>468.8</v>
      </c>
      <c r="G27" t="s">
        <v>10</v>
      </c>
      <c r="H27">
        <v>0</v>
      </c>
    </row>
    <row r="28" spans="4:10">
      <c r="D28" t="s">
        <v>535</v>
      </c>
      <c r="E28">
        <v>0.31</v>
      </c>
      <c r="F28">
        <v>400</v>
      </c>
      <c r="G28" t="s">
        <v>10</v>
      </c>
      <c r="H28">
        <v>124</v>
      </c>
    </row>
    <row r="29" spans="4:10">
      <c r="D29" t="s">
        <v>546</v>
      </c>
      <c r="H29">
        <v>619.27</v>
      </c>
    </row>
    <row r="30" spans="4:10">
      <c r="D30" t="s">
        <v>547</v>
      </c>
      <c r="E30">
        <v>0.13614999999999999</v>
      </c>
      <c r="H30">
        <v>84.31</v>
      </c>
    </row>
    <row r="31" spans="4:10">
      <c r="D31" t="s">
        <v>548</v>
      </c>
      <c r="H31">
        <v>703.57999999999993</v>
      </c>
    </row>
    <row r="32" spans="4:10">
      <c r="D32" t="s">
        <v>549</v>
      </c>
      <c r="H32">
        <v>703.58</v>
      </c>
    </row>
    <row r="33" spans="4:8">
      <c r="D33" t="s">
        <v>541</v>
      </c>
      <c r="E33">
        <v>0</v>
      </c>
      <c r="H33">
        <v>0</v>
      </c>
    </row>
    <row r="34" spans="4:8">
      <c r="D34" t="s">
        <v>550</v>
      </c>
      <c r="H34">
        <v>703.58</v>
      </c>
    </row>
    <row r="41" spans="4:8" ht="63.75">
      <c r="D41" s="289" t="s">
        <v>554</v>
      </c>
    </row>
    <row r="42" spans="4:8">
      <c r="D42" t="s">
        <v>555</v>
      </c>
    </row>
    <row r="43" spans="4:8">
      <c r="D43" t="s">
        <v>556</v>
      </c>
      <c r="E43">
        <v>1</v>
      </c>
      <c r="F43">
        <v>82.7</v>
      </c>
      <c r="G43" t="s">
        <v>109</v>
      </c>
      <c r="H43">
        <v>82.7</v>
      </c>
    </row>
    <row r="44" spans="4:8">
      <c r="D44" t="s">
        <v>541</v>
      </c>
      <c r="E44">
        <v>0</v>
      </c>
      <c r="H44">
        <v>0</v>
      </c>
    </row>
    <row r="45" spans="4:8">
      <c r="D45" t="s">
        <v>553</v>
      </c>
      <c r="G45" t="s">
        <v>154</v>
      </c>
      <c r="H45">
        <v>82.7</v>
      </c>
    </row>
    <row r="48" spans="4:8" ht="41.25" customHeight="1">
      <c r="D48" s="1636" t="s">
        <v>606</v>
      </c>
      <c r="E48" s="1636"/>
      <c r="F48" s="1636"/>
      <c r="G48" s="1636"/>
    </row>
    <row r="49" spans="4:8">
      <c r="D49" t="s">
        <v>11</v>
      </c>
    </row>
    <row r="50" spans="4:8">
      <c r="D50" t="s">
        <v>12</v>
      </c>
    </row>
    <row r="51" spans="4:8">
      <c r="D51" t="s">
        <v>607</v>
      </c>
      <c r="E51">
        <v>330</v>
      </c>
      <c r="F51">
        <v>5.62</v>
      </c>
      <c r="G51" t="s">
        <v>608</v>
      </c>
      <c r="H51">
        <v>1854.6</v>
      </c>
    </row>
    <row r="52" spans="4:8">
      <c r="D52" t="s">
        <v>609</v>
      </c>
      <c r="E52">
        <v>0.9</v>
      </c>
      <c r="F52">
        <v>1348.27</v>
      </c>
      <c r="G52" t="s">
        <v>109</v>
      </c>
      <c r="H52">
        <v>1213.44</v>
      </c>
    </row>
    <row r="53" spans="4:8">
      <c r="D53" t="s">
        <v>610</v>
      </c>
      <c r="E53">
        <v>0.45</v>
      </c>
      <c r="F53">
        <v>991.9</v>
      </c>
      <c r="G53" t="s">
        <v>109</v>
      </c>
      <c r="H53">
        <v>446.36</v>
      </c>
    </row>
    <row r="54" spans="4:8">
      <c r="D54" t="s">
        <v>611</v>
      </c>
      <c r="E54">
        <v>1.2</v>
      </c>
      <c r="F54">
        <v>103</v>
      </c>
      <c r="G54" t="s">
        <v>4</v>
      </c>
      <c r="H54">
        <v>123.6</v>
      </c>
    </row>
    <row r="55" spans="4:8">
      <c r="D55" t="s">
        <v>88</v>
      </c>
      <c r="E55">
        <v>1</v>
      </c>
      <c r="F55">
        <v>338.6</v>
      </c>
      <c r="G55" t="s">
        <v>89</v>
      </c>
      <c r="H55">
        <v>338.6</v>
      </c>
    </row>
    <row r="56" spans="4:8">
      <c r="D56" t="s">
        <v>86</v>
      </c>
    </row>
    <row r="57" spans="4:8">
      <c r="D57" t="s">
        <v>612</v>
      </c>
      <c r="E57">
        <v>0.1</v>
      </c>
      <c r="F57">
        <v>525</v>
      </c>
      <c r="G57" t="s">
        <v>18</v>
      </c>
      <c r="H57">
        <v>52.5</v>
      </c>
    </row>
    <row r="58" spans="4:8">
      <c r="D58" t="s">
        <v>535</v>
      </c>
      <c r="E58">
        <v>1.39</v>
      </c>
      <c r="F58">
        <v>400</v>
      </c>
      <c r="G58" t="s">
        <v>18</v>
      </c>
      <c r="H58">
        <v>556</v>
      </c>
    </row>
    <row r="59" spans="4:8">
      <c r="D59" t="s">
        <v>613</v>
      </c>
      <c r="G59" t="s">
        <v>154</v>
      </c>
      <c r="H59">
        <v>4585.1000000000004</v>
      </c>
    </row>
    <row r="60" spans="4:8">
      <c r="D60" t="s">
        <v>614</v>
      </c>
      <c r="E60">
        <v>0.13614999999999999</v>
      </c>
      <c r="H60">
        <v>624.26</v>
      </c>
    </row>
    <row r="61" spans="4:8">
      <c r="D61" t="s">
        <v>19</v>
      </c>
      <c r="H61">
        <v>5209.3600000000006</v>
      </c>
    </row>
    <row r="62" spans="4:8">
      <c r="D62" t="s">
        <v>541</v>
      </c>
      <c r="E62">
        <v>0</v>
      </c>
      <c r="H62">
        <v>0</v>
      </c>
    </row>
    <row r="63" spans="4:8">
      <c r="D63" t="s">
        <v>615</v>
      </c>
      <c r="H63">
        <v>5209.3600000000006</v>
      </c>
    </row>
  </sheetData>
  <mergeCells count="1">
    <mergeCell ref="D48:G48"/>
  </mergeCells>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M34"/>
  <sheetViews>
    <sheetView workbookViewId="0">
      <selection activeCell="M11" sqref="M11"/>
    </sheetView>
  </sheetViews>
  <sheetFormatPr defaultRowHeight="12.75"/>
  <sheetData>
    <row r="1" spans="1:13">
      <c r="A1" t="s">
        <v>558</v>
      </c>
    </row>
    <row r="2" spans="1:13">
      <c r="A2" t="s">
        <v>559</v>
      </c>
      <c r="G2">
        <v>0.9</v>
      </c>
      <c r="H2">
        <v>0.9</v>
      </c>
    </row>
    <row r="3" spans="1:13">
      <c r="A3" t="s">
        <v>560</v>
      </c>
      <c r="G3">
        <v>0.22500000000000001</v>
      </c>
      <c r="H3">
        <v>0.22500000000000001</v>
      </c>
      <c r="J3">
        <v>0.75</v>
      </c>
      <c r="K3" t="s">
        <v>561</v>
      </c>
    </row>
    <row r="4" spans="1:13">
      <c r="A4" t="s">
        <v>562</v>
      </c>
      <c r="G4">
        <v>1.35</v>
      </c>
      <c r="H4">
        <v>1.35</v>
      </c>
    </row>
    <row r="5" spans="1:13">
      <c r="A5" t="s">
        <v>563</v>
      </c>
      <c r="G5">
        <v>0.1</v>
      </c>
      <c r="H5">
        <v>0.1</v>
      </c>
      <c r="J5">
        <v>0.1</v>
      </c>
    </row>
    <row r="6" spans="1:13">
      <c r="A6" t="s">
        <v>564</v>
      </c>
      <c r="G6">
        <v>1.6500000000000001</v>
      </c>
      <c r="H6">
        <v>1.6500000000000001</v>
      </c>
      <c r="J6">
        <v>0.85</v>
      </c>
    </row>
    <row r="8" spans="1:13">
      <c r="A8" t="s">
        <v>565</v>
      </c>
      <c r="E8" t="s">
        <v>158</v>
      </c>
      <c r="H8" t="s">
        <v>159</v>
      </c>
      <c r="J8" t="s">
        <v>294</v>
      </c>
      <c r="K8" t="s">
        <v>566</v>
      </c>
      <c r="M8" t="s">
        <v>567</v>
      </c>
    </row>
    <row r="9" spans="1:13">
      <c r="A9" t="s">
        <v>568</v>
      </c>
    </row>
    <row r="10" spans="1:13">
      <c r="B10">
        <v>1</v>
      </c>
      <c r="C10" t="s">
        <v>163</v>
      </c>
      <c r="D10">
        <v>1</v>
      </c>
      <c r="E10">
        <v>1.6500000000000001</v>
      </c>
      <c r="F10">
        <v>1.6500000000000001</v>
      </c>
      <c r="G10">
        <v>0.85</v>
      </c>
      <c r="H10">
        <v>2.31</v>
      </c>
      <c r="I10" t="s">
        <v>109</v>
      </c>
      <c r="J10">
        <v>222.95</v>
      </c>
      <c r="K10">
        <v>1</v>
      </c>
      <c r="L10" t="s">
        <v>109</v>
      </c>
      <c r="M10">
        <v>515</v>
      </c>
    </row>
    <row r="11" spans="1:13">
      <c r="A11" t="s">
        <v>569</v>
      </c>
    </row>
    <row r="12" spans="1:13">
      <c r="A12" t="s">
        <v>570</v>
      </c>
      <c r="B12">
        <v>1</v>
      </c>
      <c r="C12" t="s">
        <v>163</v>
      </c>
      <c r="D12">
        <v>1</v>
      </c>
      <c r="E12">
        <v>1.5500000000000003</v>
      </c>
      <c r="F12">
        <v>1.5500000000000003</v>
      </c>
      <c r="G12">
        <v>0.1</v>
      </c>
      <c r="H12">
        <v>0.24</v>
      </c>
      <c r="I12" t="s">
        <v>109</v>
      </c>
      <c r="J12">
        <v>3213.9700000000003</v>
      </c>
      <c r="K12">
        <v>1</v>
      </c>
      <c r="L12" t="s">
        <v>109</v>
      </c>
      <c r="M12">
        <v>771</v>
      </c>
    </row>
    <row r="13" spans="1:13">
      <c r="A13" t="s">
        <v>571</v>
      </c>
    </row>
    <row r="14" spans="1:13">
      <c r="A14" t="s">
        <v>572</v>
      </c>
      <c r="B14">
        <v>1</v>
      </c>
      <c r="C14" t="s">
        <v>163</v>
      </c>
      <c r="D14">
        <v>2</v>
      </c>
      <c r="E14">
        <v>1.35</v>
      </c>
      <c r="F14">
        <v>0.22500000000000001</v>
      </c>
      <c r="G14">
        <v>0.57999999999999996</v>
      </c>
      <c r="H14">
        <v>0.35</v>
      </c>
    </row>
    <row r="15" spans="1:13">
      <c r="A15" t="s">
        <v>573</v>
      </c>
      <c r="B15">
        <v>1</v>
      </c>
      <c r="C15" t="s">
        <v>163</v>
      </c>
      <c r="D15">
        <v>2</v>
      </c>
      <c r="E15">
        <v>0.9</v>
      </c>
      <c r="F15">
        <v>0.22500000000000001</v>
      </c>
      <c r="G15">
        <v>0.57999999999999996</v>
      </c>
      <c r="H15">
        <v>0.23</v>
      </c>
    </row>
    <row r="16" spans="1:13">
      <c r="H16">
        <v>0.57999999999999996</v>
      </c>
      <c r="I16" t="s">
        <v>109</v>
      </c>
      <c r="K16">
        <v>1</v>
      </c>
      <c r="L16" t="s">
        <v>109</v>
      </c>
      <c r="M16">
        <v>0</v>
      </c>
    </row>
    <row r="17" spans="1:13">
      <c r="A17" t="s">
        <v>574</v>
      </c>
    </row>
    <row r="18" spans="1:13">
      <c r="A18" t="s">
        <v>575</v>
      </c>
      <c r="B18">
        <v>1</v>
      </c>
      <c r="C18" t="s">
        <v>163</v>
      </c>
      <c r="D18">
        <v>2</v>
      </c>
      <c r="E18">
        <v>1.35</v>
      </c>
      <c r="G18">
        <v>0.57999999999999996</v>
      </c>
      <c r="H18">
        <v>1.57</v>
      </c>
    </row>
    <row r="19" spans="1:13">
      <c r="A19" t="s">
        <v>576</v>
      </c>
      <c r="B19">
        <v>1</v>
      </c>
      <c r="C19" t="s">
        <v>163</v>
      </c>
      <c r="D19">
        <v>2</v>
      </c>
      <c r="E19">
        <v>1.35</v>
      </c>
      <c r="G19">
        <v>0.57999999999999996</v>
      </c>
      <c r="H19">
        <v>1.57</v>
      </c>
    </row>
    <row r="20" spans="1:13">
      <c r="A20" t="s">
        <v>577</v>
      </c>
      <c r="B20">
        <v>1</v>
      </c>
      <c r="C20" t="s">
        <v>163</v>
      </c>
      <c r="D20">
        <v>2</v>
      </c>
      <c r="E20">
        <v>0.9</v>
      </c>
      <c r="G20">
        <v>0.57999999999999996</v>
      </c>
      <c r="H20">
        <v>1.04</v>
      </c>
    </row>
    <row r="21" spans="1:13">
      <c r="A21" t="s">
        <v>578</v>
      </c>
      <c r="B21">
        <v>1</v>
      </c>
      <c r="C21" t="s">
        <v>163</v>
      </c>
      <c r="D21">
        <v>2</v>
      </c>
      <c r="E21">
        <v>0.9</v>
      </c>
      <c r="G21">
        <v>0.57999999999999996</v>
      </c>
      <c r="H21">
        <v>1.04</v>
      </c>
    </row>
    <row r="22" spans="1:13">
      <c r="A22" t="s">
        <v>579</v>
      </c>
      <c r="B22">
        <v>1</v>
      </c>
      <c r="C22" t="s">
        <v>163</v>
      </c>
      <c r="D22">
        <v>1</v>
      </c>
      <c r="E22">
        <v>0.9</v>
      </c>
      <c r="F22">
        <v>0.9</v>
      </c>
      <c r="H22">
        <v>0.81</v>
      </c>
    </row>
    <row r="23" spans="1:13">
      <c r="H23">
        <v>6.0299999999999994</v>
      </c>
      <c r="I23" t="s">
        <v>580</v>
      </c>
      <c r="J23">
        <v>144.47</v>
      </c>
      <c r="K23">
        <v>1</v>
      </c>
      <c r="L23" t="s">
        <v>580</v>
      </c>
      <c r="M23">
        <v>871</v>
      </c>
    </row>
    <row r="24" spans="1:13">
      <c r="A24" t="s">
        <v>581</v>
      </c>
    </row>
    <row r="25" spans="1:13">
      <c r="A25" t="s">
        <v>582</v>
      </c>
      <c r="B25">
        <v>1</v>
      </c>
      <c r="C25" t="s">
        <v>163</v>
      </c>
      <c r="D25">
        <v>1</v>
      </c>
      <c r="E25">
        <v>4.5</v>
      </c>
      <c r="F25">
        <v>0.22500000000000001</v>
      </c>
      <c r="G25">
        <v>0.05</v>
      </c>
      <c r="H25">
        <v>5.0999999999999997E-2</v>
      </c>
    </row>
    <row r="26" spans="1:13">
      <c r="A26" t="s">
        <v>583</v>
      </c>
      <c r="B26">
        <v>1</v>
      </c>
      <c r="C26" t="s">
        <v>163</v>
      </c>
      <c r="D26">
        <v>1</v>
      </c>
      <c r="E26">
        <v>1.35</v>
      </c>
      <c r="F26">
        <v>1.35</v>
      </c>
      <c r="G26">
        <v>0.12</v>
      </c>
      <c r="H26">
        <v>0.219</v>
      </c>
    </row>
    <row r="27" spans="1:13">
      <c r="A27" t="s">
        <v>584</v>
      </c>
      <c r="B27">
        <v>1</v>
      </c>
      <c r="C27" t="s">
        <v>163</v>
      </c>
      <c r="D27">
        <v>1</v>
      </c>
      <c r="E27">
        <v>0.6</v>
      </c>
      <c r="F27">
        <v>0.45</v>
      </c>
      <c r="G27">
        <v>6.25E-2</v>
      </c>
      <c r="H27">
        <v>1.7000000000000001E-2</v>
      </c>
    </row>
    <row r="28" spans="1:13">
      <c r="A28" t="s">
        <v>585</v>
      </c>
      <c r="B28">
        <v>-1</v>
      </c>
      <c r="C28" t="s">
        <v>163</v>
      </c>
      <c r="D28">
        <v>1</v>
      </c>
      <c r="E28">
        <v>0.67</v>
      </c>
      <c r="F28">
        <v>0.82</v>
      </c>
      <c r="G28">
        <v>0.12</v>
      </c>
      <c r="H28">
        <v>-6.6000000000000003E-2</v>
      </c>
    </row>
    <row r="29" spans="1:13">
      <c r="H29">
        <v>0.22100000000000003</v>
      </c>
      <c r="I29" t="s">
        <v>109</v>
      </c>
      <c r="J29">
        <v>5209.3600000000006</v>
      </c>
      <c r="K29">
        <v>1</v>
      </c>
      <c r="L29" t="s">
        <v>109</v>
      </c>
      <c r="M29">
        <v>1151</v>
      </c>
    </row>
    <row r="30" spans="1:13">
      <c r="A30" t="s">
        <v>586</v>
      </c>
    </row>
    <row r="31" spans="1:13">
      <c r="A31" t="s">
        <v>587</v>
      </c>
      <c r="B31">
        <v>1</v>
      </c>
      <c r="C31" t="s">
        <v>163</v>
      </c>
      <c r="D31">
        <v>1</v>
      </c>
      <c r="H31">
        <v>1</v>
      </c>
      <c r="I31" t="s">
        <v>588</v>
      </c>
      <c r="J31">
        <v>2189.4</v>
      </c>
      <c r="K31">
        <v>1</v>
      </c>
      <c r="L31" t="s">
        <v>588</v>
      </c>
      <c r="M31">
        <v>2189</v>
      </c>
    </row>
    <row r="32" spans="1:13">
      <c r="A32" t="s">
        <v>589</v>
      </c>
    </row>
    <row r="33" spans="2:13">
      <c r="B33">
        <v>1</v>
      </c>
      <c r="C33" t="s">
        <v>163</v>
      </c>
      <c r="D33">
        <v>1</v>
      </c>
      <c r="H33">
        <v>1</v>
      </c>
      <c r="I33" t="s">
        <v>588</v>
      </c>
      <c r="J33">
        <v>71.600000000000009</v>
      </c>
      <c r="K33">
        <v>1</v>
      </c>
      <c r="L33" t="s">
        <v>588</v>
      </c>
      <c r="M33">
        <v>72</v>
      </c>
    </row>
    <row r="34" spans="2:13">
      <c r="J34" t="s">
        <v>590</v>
      </c>
      <c r="M34">
        <v>5569</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A1:C10"/>
  <sheetViews>
    <sheetView workbookViewId="0">
      <selection activeCell="H21" sqref="H21"/>
    </sheetView>
  </sheetViews>
  <sheetFormatPr defaultRowHeight="12.75"/>
  <sheetData>
    <row r="1" spans="1:3">
      <c r="A1">
        <v>687.82</v>
      </c>
      <c r="B1">
        <v>55.33</v>
      </c>
      <c r="C1">
        <v>26</v>
      </c>
    </row>
    <row r="2" spans="1:3">
      <c r="A2">
        <v>434.01</v>
      </c>
      <c r="B2">
        <v>33.06</v>
      </c>
      <c r="C2">
        <v>16</v>
      </c>
    </row>
    <row r="3" spans="1:3">
      <c r="A3">
        <v>138.02000000000001</v>
      </c>
      <c r="B3">
        <v>11.01</v>
      </c>
      <c r="C3">
        <v>6</v>
      </c>
    </row>
    <row r="4" spans="1:3">
      <c r="A4">
        <v>2493.4499999999998</v>
      </c>
      <c r="B4">
        <v>196.3</v>
      </c>
      <c r="C4">
        <v>86</v>
      </c>
    </row>
    <row r="5" spans="1:3">
      <c r="A5">
        <v>781.1</v>
      </c>
      <c r="B5">
        <v>61.35</v>
      </c>
      <c r="C5">
        <v>29</v>
      </c>
    </row>
    <row r="6" spans="1:3">
      <c r="A6">
        <v>1375.98</v>
      </c>
      <c r="B6">
        <v>104.59</v>
      </c>
      <c r="C6">
        <v>47</v>
      </c>
    </row>
    <row r="7" spans="1:3">
      <c r="A7">
        <v>1765.6</v>
      </c>
      <c r="B7">
        <v>142.69</v>
      </c>
      <c r="C7">
        <v>64</v>
      </c>
    </row>
    <row r="8" spans="1:3">
      <c r="A8">
        <v>1727.03</v>
      </c>
      <c r="B8">
        <v>132.21</v>
      </c>
      <c r="C8">
        <v>57</v>
      </c>
    </row>
    <row r="9" spans="1:3">
      <c r="A9">
        <v>394.35</v>
      </c>
      <c r="B9">
        <v>29.41</v>
      </c>
      <c r="C9">
        <v>14</v>
      </c>
    </row>
    <row r="10" spans="1:3" ht="18">
      <c r="A10" s="495">
        <f>SUM(A1:A9)</f>
        <v>9797.36</v>
      </c>
      <c r="B10" s="496">
        <f>SUM(B1:B9)</f>
        <v>765.95000000000016</v>
      </c>
      <c r="C10" s="496">
        <f>SUM(C1:C9)</f>
        <v>345</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dimension ref="A1:Q303"/>
  <sheetViews>
    <sheetView view="pageBreakPreview" zoomScale="85" zoomScaleSheetLayoutView="85" workbookViewId="0">
      <selection activeCell="E163" sqref="E163"/>
    </sheetView>
  </sheetViews>
  <sheetFormatPr defaultColWidth="8" defaultRowHeight="14.25"/>
  <cols>
    <col min="1" max="1" width="4.7109375" style="87" customWidth="1"/>
    <col min="2" max="2" width="8.5703125" style="2" customWidth="1"/>
    <col min="3" max="3" width="3.85546875" style="26" customWidth="1"/>
    <col min="4" max="4" width="4.7109375" style="87" customWidth="1"/>
    <col min="5" max="5" width="8.5703125" style="2" customWidth="1"/>
    <col min="6" max="6" width="4.140625" style="27" customWidth="1"/>
    <col min="7" max="7" width="4.7109375" style="87" customWidth="1"/>
    <col min="8" max="8" width="8.5703125" style="2" customWidth="1"/>
    <col min="9" max="9" width="5.42578125" style="26" customWidth="1"/>
    <col min="10" max="10" width="4.7109375" style="87" customWidth="1"/>
    <col min="11" max="11" width="8.5703125" style="2" customWidth="1"/>
    <col min="12" max="12" width="8" style="3" customWidth="1"/>
    <col min="13" max="13" width="8" style="2" hidden="1" customWidth="1"/>
    <col min="14" max="14" width="10.140625" style="2" hidden="1" customWidth="1"/>
    <col min="15" max="15" width="8" style="3"/>
    <col min="16" max="16" width="32.42578125" style="3" customWidth="1"/>
    <col min="17" max="18" width="8" style="3"/>
    <col min="19" max="19" width="8" style="3" customWidth="1"/>
    <col min="20" max="16384" width="8" style="3"/>
  </cols>
  <sheetData>
    <row r="1" spans="1:17" ht="15">
      <c r="A1" s="1625" t="s">
        <v>632</v>
      </c>
      <c r="B1" s="1626"/>
      <c r="C1" s="1626"/>
      <c r="D1" s="1626"/>
      <c r="E1" s="1626"/>
      <c r="F1" s="1626"/>
      <c r="G1" s="1626"/>
      <c r="H1" s="1626"/>
      <c r="I1" s="1626"/>
      <c r="J1" s="1626"/>
      <c r="K1" s="1626"/>
    </row>
    <row r="2" spans="1:17" s="34" customFormat="1" ht="34.5" customHeight="1">
      <c r="A2" s="1630" t="s">
        <v>24</v>
      </c>
      <c r="B2" s="1630"/>
      <c r="C2" s="32"/>
      <c r="D2" s="1629" t="s">
        <v>25</v>
      </c>
      <c r="E2" s="1629"/>
      <c r="F2" s="33"/>
      <c r="G2" s="1628" t="s">
        <v>26</v>
      </c>
      <c r="H2" s="1628"/>
      <c r="I2" s="32"/>
      <c r="J2" s="1627" t="s">
        <v>29</v>
      </c>
      <c r="K2" s="1627"/>
      <c r="M2" s="35" t="s">
        <v>27</v>
      </c>
      <c r="N2" s="35"/>
      <c r="P2" s="34" t="s">
        <v>25</v>
      </c>
    </row>
    <row r="3" spans="1:17">
      <c r="A3" s="29" t="s">
        <v>28</v>
      </c>
      <c r="B3" s="29" t="s">
        <v>294</v>
      </c>
      <c r="D3" s="25" t="s">
        <v>28</v>
      </c>
      <c r="E3" s="25" t="s">
        <v>294</v>
      </c>
      <c r="G3" s="30" t="s">
        <v>28</v>
      </c>
      <c r="H3" s="30" t="s">
        <v>294</v>
      </c>
      <c r="J3" s="31" t="s">
        <v>28</v>
      </c>
      <c r="K3" s="31" t="s">
        <v>294</v>
      </c>
    </row>
    <row r="4" spans="1:17" ht="16.5">
      <c r="A4" s="86">
        <v>1</v>
      </c>
      <c r="B4" s="74">
        <v>33.6</v>
      </c>
      <c r="C4" s="249"/>
      <c r="D4" s="86">
        <v>1</v>
      </c>
      <c r="E4" s="79">
        <v>34.700000000000003</v>
      </c>
      <c r="G4" s="86">
        <v>1</v>
      </c>
      <c r="H4" s="79">
        <v>49.5</v>
      </c>
      <c r="I4" s="28"/>
      <c r="J4" s="86">
        <v>1</v>
      </c>
      <c r="K4" s="84">
        <v>56.1</v>
      </c>
      <c r="M4" s="4">
        <v>1</v>
      </c>
      <c r="N4" s="5">
        <v>63.1</v>
      </c>
      <c r="P4" s="3" t="s">
        <v>633</v>
      </c>
      <c r="Q4" s="3">
        <v>92.5</v>
      </c>
    </row>
    <row r="5" spans="1:17" ht="16.5">
      <c r="A5" s="86">
        <f>A4+1</f>
        <v>2</v>
      </c>
      <c r="B5" s="75">
        <v>47.1</v>
      </c>
      <c r="C5" s="249"/>
      <c r="D5" s="86">
        <f t="shared" ref="D5:D68" si="0">D4+1</f>
        <v>2</v>
      </c>
      <c r="E5" s="81">
        <v>47.1</v>
      </c>
      <c r="G5" s="86">
        <f>G4+1</f>
        <v>2</v>
      </c>
      <c r="H5" s="81">
        <v>69.3</v>
      </c>
      <c r="I5" s="28"/>
      <c r="J5" s="86">
        <f>J4+1</f>
        <v>2</v>
      </c>
      <c r="K5" s="81">
        <v>78.5</v>
      </c>
      <c r="M5" s="4">
        <v>2</v>
      </c>
      <c r="N5" s="5">
        <v>63.1</v>
      </c>
      <c r="P5" s="3" t="s">
        <v>634</v>
      </c>
      <c r="Q5" s="3">
        <v>13.9</v>
      </c>
    </row>
    <row r="6" spans="1:17" ht="16.5">
      <c r="A6" s="86">
        <f>A5+1</f>
        <v>3</v>
      </c>
      <c r="B6" s="76">
        <v>64.8</v>
      </c>
      <c r="C6" s="249"/>
      <c r="D6" s="86">
        <f t="shared" si="0"/>
        <v>3</v>
      </c>
      <c r="E6" s="80">
        <v>64.8</v>
      </c>
      <c r="G6" s="86">
        <f t="shared" ref="G6:G69" si="1">G5+1</f>
        <v>3</v>
      </c>
      <c r="H6" s="80">
        <v>95.3</v>
      </c>
      <c r="I6" s="28"/>
      <c r="J6" s="86">
        <f t="shared" ref="J6:J69" si="2">J5+1</f>
        <v>3</v>
      </c>
      <c r="K6" s="80">
        <v>104.7</v>
      </c>
      <c r="M6" s="4">
        <v>3</v>
      </c>
      <c r="N6" s="5">
        <v>63.1</v>
      </c>
      <c r="P6" s="3" t="s">
        <v>635</v>
      </c>
      <c r="Q6" s="3">
        <v>11.6</v>
      </c>
    </row>
    <row r="7" spans="1:17" ht="16.5">
      <c r="A7" s="86">
        <f>A6+1</f>
        <v>4</v>
      </c>
      <c r="B7" s="77">
        <v>78.7</v>
      </c>
      <c r="C7" s="249"/>
      <c r="D7" s="86">
        <f t="shared" si="0"/>
        <v>4</v>
      </c>
      <c r="E7" s="82">
        <v>78.7</v>
      </c>
      <c r="G7" s="86">
        <f t="shared" si="1"/>
        <v>4</v>
      </c>
      <c r="H7" s="82">
        <v>115.7</v>
      </c>
      <c r="I7" s="28"/>
      <c r="J7" s="86">
        <f t="shared" si="2"/>
        <v>4</v>
      </c>
      <c r="K7" s="82">
        <v>127.1</v>
      </c>
      <c r="M7" s="4">
        <v>4</v>
      </c>
      <c r="N7" s="5">
        <v>63.1</v>
      </c>
    </row>
    <row r="8" spans="1:17" ht="16.5">
      <c r="A8" s="86">
        <f>A7+1</f>
        <v>5</v>
      </c>
      <c r="B8" s="78">
        <v>92.5</v>
      </c>
      <c r="C8" s="249"/>
      <c r="D8" s="86">
        <f t="shared" si="0"/>
        <v>5</v>
      </c>
      <c r="E8" s="83">
        <v>92.5</v>
      </c>
      <c r="G8" s="86">
        <f t="shared" si="1"/>
        <v>5</v>
      </c>
      <c r="H8" s="83">
        <v>136.1</v>
      </c>
      <c r="I8" s="28"/>
      <c r="J8" s="86">
        <f t="shared" si="2"/>
        <v>5</v>
      </c>
      <c r="K8" s="83">
        <v>149.5</v>
      </c>
      <c r="M8" s="4">
        <v>5</v>
      </c>
      <c r="N8" s="5">
        <v>63.1</v>
      </c>
      <c r="P8" s="3" t="s">
        <v>24</v>
      </c>
    </row>
    <row r="9" spans="1:17" ht="16.5">
      <c r="A9" s="86">
        <f>A8+1</f>
        <v>6</v>
      </c>
      <c r="B9" s="79">
        <f>$B$8+((A9-$A$8)*$Q$10)</f>
        <v>106.4</v>
      </c>
      <c r="C9" s="249"/>
      <c r="D9" s="86">
        <f t="shared" si="0"/>
        <v>6</v>
      </c>
      <c r="E9" s="79">
        <f>$E$8+(A9-$A$8)*$Q$5</f>
        <v>106.4</v>
      </c>
      <c r="G9" s="86">
        <f t="shared" si="1"/>
        <v>6</v>
      </c>
      <c r="H9" s="79">
        <f>$H$8+(A9-$A$8)*$Q$15</f>
        <v>156.5</v>
      </c>
      <c r="I9" s="28"/>
      <c r="J9" s="86">
        <f t="shared" si="2"/>
        <v>6</v>
      </c>
      <c r="K9" s="85">
        <f>$K$8+(A9-$A$8)*$Q$20</f>
        <v>171.9</v>
      </c>
      <c r="M9" s="4">
        <v>6</v>
      </c>
      <c r="N9" s="5">
        <f t="shared" ref="N9:N72" si="3">N8+3</f>
        <v>66.099999999999994</v>
      </c>
      <c r="P9" s="3" t="s">
        <v>633</v>
      </c>
      <c r="Q9" s="3">
        <v>92.5</v>
      </c>
    </row>
    <row r="10" spans="1:17" ht="16.5">
      <c r="A10" s="86">
        <f t="shared" ref="A10:A33" si="4">A9+1</f>
        <v>7</v>
      </c>
      <c r="B10" s="79">
        <f t="shared" ref="B10:B33" si="5">$B$8+((A10-$A$8)*$Q$10)</f>
        <v>120.3</v>
      </c>
      <c r="C10" s="249"/>
      <c r="D10" s="86">
        <f t="shared" si="0"/>
        <v>7</v>
      </c>
      <c r="E10" s="79">
        <f t="shared" ref="E10:E33" si="6">$E$8+(A10-$A$8)*$Q$5</f>
        <v>120.3</v>
      </c>
      <c r="G10" s="86">
        <f t="shared" si="1"/>
        <v>7</v>
      </c>
      <c r="H10" s="79">
        <f t="shared" ref="H10:H33" si="7">$H$8+(A10-$A$8)*$Q$15</f>
        <v>176.89999999999998</v>
      </c>
      <c r="I10" s="28"/>
      <c r="J10" s="86">
        <f t="shared" si="2"/>
        <v>7</v>
      </c>
      <c r="K10" s="85">
        <f t="shared" ref="K10:K33" si="8">$K$8+(A10-$A$8)*$Q$20</f>
        <v>194.3</v>
      </c>
      <c r="M10" s="4">
        <v>7</v>
      </c>
      <c r="N10" s="5">
        <f t="shared" si="3"/>
        <v>69.099999999999994</v>
      </c>
      <c r="P10" s="3" t="s">
        <v>634</v>
      </c>
      <c r="Q10" s="3">
        <v>13.9</v>
      </c>
    </row>
    <row r="11" spans="1:17" ht="16.5">
      <c r="A11" s="86">
        <f t="shared" si="4"/>
        <v>8</v>
      </c>
      <c r="B11" s="79">
        <f t="shared" si="5"/>
        <v>134.19999999999999</v>
      </c>
      <c r="C11" s="249"/>
      <c r="D11" s="86">
        <f t="shared" si="0"/>
        <v>8</v>
      </c>
      <c r="E11" s="79">
        <f t="shared" si="6"/>
        <v>134.19999999999999</v>
      </c>
      <c r="G11" s="86">
        <f t="shared" si="1"/>
        <v>8</v>
      </c>
      <c r="H11" s="79">
        <f t="shared" si="7"/>
        <v>197.29999999999998</v>
      </c>
      <c r="I11" s="28"/>
      <c r="J11" s="86">
        <f t="shared" si="2"/>
        <v>8</v>
      </c>
      <c r="K11" s="85">
        <f t="shared" si="8"/>
        <v>216.7</v>
      </c>
      <c r="M11" s="4">
        <v>8</v>
      </c>
      <c r="N11" s="5">
        <f t="shared" si="3"/>
        <v>72.099999999999994</v>
      </c>
      <c r="P11" s="3" t="s">
        <v>635</v>
      </c>
      <c r="Q11" s="3">
        <v>11.6</v>
      </c>
    </row>
    <row r="12" spans="1:17" ht="16.5">
      <c r="A12" s="86">
        <f t="shared" si="4"/>
        <v>9</v>
      </c>
      <c r="B12" s="79">
        <f t="shared" si="5"/>
        <v>148.1</v>
      </c>
      <c r="C12" s="249"/>
      <c r="D12" s="86">
        <f t="shared" si="0"/>
        <v>9</v>
      </c>
      <c r="E12" s="79">
        <f t="shared" si="6"/>
        <v>148.1</v>
      </c>
      <c r="G12" s="86">
        <f t="shared" si="1"/>
        <v>9</v>
      </c>
      <c r="H12" s="79">
        <f t="shared" si="7"/>
        <v>217.7</v>
      </c>
      <c r="I12" s="28"/>
      <c r="J12" s="86">
        <f t="shared" si="2"/>
        <v>9</v>
      </c>
      <c r="K12" s="85">
        <f t="shared" si="8"/>
        <v>239.1</v>
      </c>
      <c r="M12" s="4">
        <v>9</v>
      </c>
      <c r="N12" s="5">
        <f t="shared" si="3"/>
        <v>75.099999999999994</v>
      </c>
    </row>
    <row r="13" spans="1:17" ht="16.5">
      <c r="A13" s="86">
        <f t="shared" si="4"/>
        <v>10</v>
      </c>
      <c r="B13" s="79">
        <f t="shared" si="5"/>
        <v>162</v>
      </c>
      <c r="C13" s="249"/>
      <c r="D13" s="86">
        <f t="shared" si="0"/>
        <v>10</v>
      </c>
      <c r="E13" s="79">
        <f t="shared" si="6"/>
        <v>162</v>
      </c>
      <c r="G13" s="86">
        <f t="shared" si="1"/>
        <v>10</v>
      </c>
      <c r="H13" s="79">
        <f t="shared" si="7"/>
        <v>238.1</v>
      </c>
      <c r="I13" s="28"/>
      <c r="J13" s="86">
        <f t="shared" si="2"/>
        <v>10</v>
      </c>
      <c r="K13" s="85">
        <f t="shared" si="8"/>
        <v>261.5</v>
      </c>
      <c r="M13" s="4">
        <v>10</v>
      </c>
      <c r="N13" s="5">
        <f t="shared" si="3"/>
        <v>78.099999999999994</v>
      </c>
      <c r="P13" s="3" t="s">
        <v>26</v>
      </c>
    </row>
    <row r="14" spans="1:17" ht="16.5">
      <c r="A14" s="86">
        <f t="shared" si="4"/>
        <v>11</v>
      </c>
      <c r="B14" s="79">
        <f t="shared" si="5"/>
        <v>175.9</v>
      </c>
      <c r="C14" s="249"/>
      <c r="D14" s="86">
        <f t="shared" si="0"/>
        <v>11</v>
      </c>
      <c r="E14" s="79">
        <f t="shared" si="6"/>
        <v>175.9</v>
      </c>
      <c r="G14" s="86">
        <f t="shared" si="1"/>
        <v>11</v>
      </c>
      <c r="H14" s="79">
        <f t="shared" si="7"/>
        <v>258.5</v>
      </c>
      <c r="I14" s="28"/>
      <c r="J14" s="86">
        <f t="shared" si="2"/>
        <v>11</v>
      </c>
      <c r="K14" s="85">
        <f t="shared" si="8"/>
        <v>283.89999999999998</v>
      </c>
      <c r="M14" s="4">
        <v>11</v>
      </c>
      <c r="N14" s="5">
        <f t="shared" si="3"/>
        <v>81.099999999999994</v>
      </c>
      <c r="P14" s="3" t="s">
        <v>633</v>
      </c>
      <c r="Q14" s="3">
        <v>136.1</v>
      </c>
    </row>
    <row r="15" spans="1:17" ht="16.5">
      <c r="A15" s="86">
        <f t="shared" si="4"/>
        <v>12</v>
      </c>
      <c r="B15" s="79">
        <f t="shared" si="5"/>
        <v>189.8</v>
      </c>
      <c r="C15" s="249"/>
      <c r="D15" s="86">
        <f t="shared" si="0"/>
        <v>12</v>
      </c>
      <c r="E15" s="79">
        <f t="shared" si="6"/>
        <v>189.8</v>
      </c>
      <c r="G15" s="86">
        <f t="shared" si="1"/>
        <v>12</v>
      </c>
      <c r="H15" s="79">
        <f t="shared" si="7"/>
        <v>278.89999999999998</v>
      </c>
      <c r="I15" s="28"/>
      <c r="J15" s="86">
        <f t="shared" si="2"/>
        <v>12</v>
      </c>
      <c r="K15" s="85">
        <f t="shared" si="8"/>
        <v>306.29999999999995</v>
      </c>
      <c r="M15" s="4">
        <v>12</v>
      </c>
      <c r="N15" s="5">
        <f t="shared" si="3"/>
        <v>84.1</v>
      </c>
      <c r="P15" s="3" t="s">
        <v>634</v>
      </c>
      <c r="Q15" s="3">
        <v>20.399999999999999</v>
      </c>
    </row>
    <row r="16" spans="1:17" ht="16.5">
      <c r="A16" s="86">
        <f t="shared" si="4"/>
        <v>13</v>
      </c>
      <c r="B16" s="79">
        <f t="shared" si="5"/>
        <v>203.7</v>
      </c>
      <c r="C16" s="249"/>
      <c r="D16" s="86">
        <f t="shared" si="0"/>
        <v>13</v>
      </c>
      <c r="E16" s="79">
        <f t="shared" si="6"/>
        <v>203.7</v>
      </c>
      <c r="G16" s="86">
        <f t="shared" si="1"/>
        <v>13</v>
      </c>
      <c r="H16" s="79">
        <f t="shared" si="7"/>
        <v>299.29999999999995</v>
      </c>
      <c r="I16" s="28"/>
      <c r="J16" s="86">
        <f t="shared" si="2"/>
        <v>13</v>
      </c>
      <c r="K16" s="85">
        <f t="shared" si="8"/>
        <v>328.7</v>
      </c>
      <c r="M16" s="4">
        <v>13</v>
      </c>
      <c r="N16" s="5">
        <f t="shared" si="3"/>
        <v>87.1</v>
      </c>
      <c r="P16" s="3" t="s">
        <v>635</v>
      </c>
      <c r="Q16" s="3">
        <v>17</v>
      </c>
    </row>
    <row r="17" spans="1:17" ht="16.5">
      <c r="A17" s="86">
        <f t="shared" si="4"/>
        <v>14</v>
      </c>
      <c r="B17" s="79">
        <f t="shared" si="5"/>
        <v>217.60000000000002</v>
      </c>
      <c r="C17" s="249"/>
      <c r="D17" s="86">
        <f t="shared" si="0"/>
        <v>14</v>
      </c>
      <c r="E17" s="79">
        <f t="shared" si="6"/>
        <v>217.60000000000002</v>
      </c>
      <c r="G17" s="86">
        <f t="shared" si="1"/>
        <v>14</v>
      </c>
      <c r="H17" s="79">
        <f t="shared" si="7"/>
        <v>319.7</v>
      </c>
      <c r="I17" s="28"/>
      <c r="J17" s="86">
        <f t="shared" si="2"/>
        <v>14</v>
      </c>
      <c r="K17" s="85">
        <f t="shared" si="8"/>
        <v>351.1</v>
      </c>
      <c r="M17" s="4">
        <v>14</v>
      </c>
      <c r="N17" s="5">
        <f t="shared" si="3"/>
        <v>90.1</v>
      </c>
    </row>
    <row r="18" spans="1:17" ht="16.5">
      <c r="A18" s="86">
        <f t="shared" si="4"/>
        <v>15</v>
      </c>
      <c r="B18" s="79">
        <f t="shared" si="5"/>
        <v>231.5</v>
      </c>
      <c r="C18" s="249"/>
      <c r="D18" s="86">
        <f t="shared" si="0"/>
        <v>15</v>
      </c>
      <c r="E18" s="79">
        <f t="shared" si="6"/>
        <v>231.5</v>
      </c>
      <c r="G18" s="86">
        <f t="shared" si="1"/>
        <v>15</v>
      </c>
      <c r="H18" s="79">
        <f t="shared" si="7"/>
        <v>340.1</v>
      </c>
      <c r="I18" s="28"/>
      <c r="J18" s="86">
        <f t="shared" si="2"/>
        <v>15</v>
      </c>
      <c r="K18" s="85">
        <f t="shared" si="8"/>
        <v>373.5</v>
      </c>
      <c r="M18" s="4">
        <v>15</v>
      </c>
      <c r="N18" s="5">
        <f t="shared" si="3"/>
        <v>93.1</v>
      </c>
      <c r="P18" s="3" t="s">
        <v>29</v>
      </c>
    </row>
    <row r="19" spans="1:17" ht="16.5">
      <c r="A19" s="86">
        <f t="shared" si="4"/>
        <v>16</v>
      </c>
      <c r="B19" s="79">
        <f t="shared" si="5"/>
        <v>245.4</v>
      </c>
      <c r="C19" s="249"/>
      <c r="D19" s="86">
        <f t="shared" si="0"/>
        <v>16</v>
      </c>
      <c r="E19" s="79">
        <f t="shared" si="6"/>
        <v>245.4</v>
      </c>
      <c r="G19" s="86">
        <f t="shared" si="1"/>
        <v>16</v>
      </c>
      <c r="H19" s="79">
        <f t="shared" si="7"/>
        <v>360.5</v>
      </c>
      <c r="I19" s="28"/>
      <c r="J19" s="86">
        <f t="shared" si="2"/>
        <v>16</v>
      </c>
      <c r="K19" s="85">
        <f t="shared" si="8"/>
        <v>395.9</v>
      </c>
      <c r="M19" s="4">
        <v>16</v>
      </c>
      <c r="N19" s="5">
        <f t="shared" si="3"/>
        <v>96.1</v>
      </c>
      <c r="P19" s="3" t="s">
        <v>633</v>
      </c>
      <c r="Q19" s="3">
        <v>149.5</v>
      </c>
    </row>
    <row r="20" spans="1:17" ht="16.5">
      <c r="A20" s="86">
        <f t="shared" si="4"/>
        <v>17</v>
      </c>
      <c r="B20" s="79">
        <f t="shared" si="5"/>
        <v>259.3</v>
      </c>
      <c r="C20" s="249"/>
      <c r="D20" s="86">
        <f t="shared" si="0"/>
        <v>17</v>
      </c>
      <c r="E20" s="79">
        <f t="shared" si="6"/>
        <v>259.3</v>
      </c>
      <c r="G20" s="86">
        <f t="shared" si="1"/>
        <v>17</v>
      </c>
      <c r="H20" s="79">
        <f t="shared" si="7"/>
        <v>380.9</v>
      </c>
      <c r="I20" s="28"/>
      <c r="J20" s="86">
        <f t="shared" si="2"/>
        <v>17</v>
      </c>
      <c r="K20" s="85">
        <f t="shared" si="8"/>
        <v>418.29999999999995</v>
      </c>
      <c r="M20" s="4">
        <v>17</v>
      </c>
      <c r="N20" s="5">
        <f t="shared" si="3"/>
        <v>99.1</v>
      </c>
      <c r="P20" s="3" t="s">
        <v>634</v>
      </c>
      <c r="Q20" s="3">
        <v>22.4</v>
      </c>
    </row>
    <row r="21" spans="1:17" ht="16.5">
      <c r="A21" s="86">
        <f t="shared" si="4"/>
        <v>18</v>
      </c>
      <c r="B21" s="79">
        <f t="shared" si="5"/>
        <v>273.20000000000005</v>
      </c>
      <c r="C21" s="249"/>
      <c r="D21" s="86">
        <f t="shared" si="0"/>
        <v>18</v>
      </c>
      <c r="E21" s="79">
        <f t="shared" si="6"/>
        <v>273.20000000000005</v>
      </c>
      <c r="G21" s="86">
        <f t="shared" si="1"/>
        <v>18</v>
      </c>
      <c r="H21" s="79">
        <f t="shared" si="7"/>
        <v>401.29999999999995</v>
      </c>
      <c r="I21" s="28"/>
      <c r="J21" s="86">
        <f t="shared" si="2"/>
        <v>18</v>
      </c>
      <c r="K21" s="85">
        <f t="shared" si="8"/>
        <v>440.7</v>
      </c>
      <c r="M21" s="4">
        <v>18</v>
      </c>
      <c r="N21" s="5">
        <f t="shared" si="3"/>
        <v>102.1</v>
      </c>
      <c r="P21" s="3" t="s">
        <v>635</v>
      </c>
      <c r="Q21" s="3">
        <v>18.7</v>
      </c>
    </row>
    <row r="22" spans="1:17" ht="16.5">
      <c r="A22" s="86">
        <f t="shared" si="4"/>
        <v>19</v>
      </c>
      <c r="B22" s="79">
        <f t="shared" si="5"/>
        <v>287.10000000000002</v>
      </c>
      <c r="C22" s="249"/>
      <c r="D22" s="86">
        <f t="shared" si="0"/>
        <v>19</v>
      </c>
      <c r="E22" s="79">
        <f t="shared" si="6"/>
        <v>287.10000000000002</v>
      </c>
      <c r="G22" s="86">
        <f t="shared" si="1"/>
        <v>19</v>
      </c>
      <c r="H22" s="79">
        <f t="shared" si="7"/>
        <v>421.69999999999993</v>
      </c>
      <c r="I22" s="28"/>
      <c r="J22" s="86">
        <f t="shared" si="2"/>
        <v>19</v>
      </c>
      <c r="K22" s="85">
        <f t="shared" si="8"/>
        <v>463.09999999999997</v>
      </c>
      <c r="M22" s="4">
        <v>19</v>
      </c>
      <c r="N22" s="5">
        <f t="shared" si="3"/>
        <v>105.1</v>
      </c>
    </row>
    <row r="23" spans="1:17" ht="16.5">
      <c r="A23" s="86">
        <f t="shared" si="4"/>
        <v>20</v>
      </c>
      <c r="B23" s="79">
        <f t="shared" si="5"/>
        <v>301</v>
      </c>
      <c r="C23" s="249"/>
      <c r="D23" s="86">
        <f t="shared" si="0"/>
        <v>20</v>
      </c>
      <c r="E23" s="79">
        <f t="shared" si="6"/>
        <v>301</v>
      </c>
      <c r="G23" s="86">
        <f t="shared" si="1"/>
        <v>20</v>
      </c>
      <c r="H23" s="79">
        <f t="shared" si="7"/>
        <v>442.1</v>
      </c>
      <c r="I23" s="28"/>
      <c r="J23" s="86">
        <f t="shared" si="2"/>
        <v>20</v>
      </c>
      <c r="K23" s="85">
        <f t="shared" si="8"/>
        <v>485.5</v>
      </c>
      <c r="M23" s="4">
        <v>20</v>
      </c>
      <c r="N23" s="5">
        <f t="shared" si="3"/>
        <v>108.1</v>
      </c>
    </row>
    <row r="24" spans="1:17" ht="16.5">
      <c r="A24" s="86">
        <f t="shared" si="4"/>
        <v>21</v>
      </c>
      <c r="B24" s="79">
        <f t="shared" si="5"/>
        <v>314.89999999999998</v>
      </c>
      <c r="C24" s="249"/>
      <c r="D24" s="86">
        <f t="shared" si="0"/>
        <v>21</v>
      </c>
      <c r="E24" s="79">
        <f t="shared" si="6"/>
        <v>314.89999999999998</v>
      </c>
      <c r="G24" s="86">
        <f t="shared" si="1"/>
        <v>21</v>
      </c>
      <c r="H24" s="79">
        <f t="shared" si="7"/>
        <v>462.5</v>
      </c>
      <c r="I24" s="28"/>
      <c r="J24" s="86">
        <f t="shared" si="2"/>
        <v>21</v>
      </c>
      <c r="K24" s="85">
        <f t="shared" si="8"/>
        <v>507.9</v>
      </c>
      <c r="M24" s="4">
        <v>21</v>
      </c>
      <c r="N24" s="5">
        <f t="shared" si="3"/>
        <v>111.1</v>
      </c>
    </row>
    <row r="25" spans="1:17" ht="16.5">
      <c r="A25" s="86">
        <f t="shared" si="4"/>
        <v>22</v>
      </c>
      <c r="B25" s="79">
        <f t="shared" si="5"/>
        <v>328.8</v>
      </c>
      <c r="C25" s="249"/>
      <c r="D25" s="86">
        <f t="shared" si="0"/>
        <v>22</v>
      </c>
      <c r="E25" s="79">
        <f t="shared" si="6"/>
        <v>328.8</v>
      </c>
      <c r="G25" s="86">
        <f t="shared" si="1"/>
        <v>22</v>
      </c>
      <c r="H25" s="79">
        <f t="shared" si="7"/>
        <v>482.9</v>
      </c>
      <c r="I25" s="28"/>
      <c r="J25" s="86">
        <f t="shared" si="2"/>
        <v>22</v>
      </c>
      <c r="K25" s="85">
        <f t="shared" si="8"/>
        <v>530.29999999999995</v>
      </c>
      <c r="M25" s="4">
        <v>22</v>
      </c>
      <c r="N25" s="5">
        <f t="shared" si="3"/>
        <v>114.1</v>
      </c>
    </row>
    <row r="26" spans="1:17" ht="16.5">
      <c r="A26" s="86">
        <f t="shared" si="4"/>
        <v>23</v>
      </c>
      <c r="B26" s="79">
        <f t="shared" si="5"/>
        <v>342.70000000000005</v>
      </c>
      <c r="C26" s="249"/>
      <c r="D26" s="86">
        <f t="shared" si="0"/>
        <v>23</v>
      </c>
      <c r="E26" s="79">
        <f t="shared" si="6"/>
        <v>342.70000000000005</v>
      </c>
      <c r="G26" s="86">
        <f t="shared" si="1"/>
        <v>23</v>
      </c>
      <c r="H26" s="79">
        <f t="shared" si="7"/>
        <v>503.29999999999995</v>
      </c>
      <c r="I26" s="28"/>
      <c r="J26" s="86">
        <f t="shared" si="2"/>
        <v>23</v>
      </c>
      <c r="K26" s="85">
        <f t="shared" si="8"/>
        <v>552.70000000000005</v>
      </c>
      <c r="M26" s="4">
        <v>23</v>
      </c>
      <c r="N26" s="5">
        <f t="shared" si="3"/>
        <v>117.1</v>
      </c>
    </row>
    <row r="27" spans="1:17" ht="16.5">
      <c r="A27" s="86">
        <f t="shared" si="4"/>
        <v>24</v>
      </c>
      <c r="B27" s="79">
        <f t="shared" si="5"/>
        <v>356.6</v>
      </c>
      <c r="C27" s="249"/>
      <c r="D27" s="86">
        <f t="shared" si="0"/>
        <v>24</v>
      </c>
      <c r="E27" s="79">
        <f t="shared" si="6"/>
        <v>356.6</v>
      </c>
      <c r="G27" s="86">
        <f t="shared" si="1"/>
        <v>24</v>
      </c>
      <c r="H27" s="79">
        <f t="shared" si="7"/>
        <v>523.69999999999993</v>
      </c>
      <c r="I27" s="28"/>
      <c r="J27" s="86">
        <f t="shared" si="2"/>
        <v>24</v>
      </c>
      <c r="K27" s="85">
        <f t="shared" si="8"/>
        <v>575.09999999999991</v>
      </c>
      <c r="M27" s="4">
        <v>24</v>
      </c>
      <c r="N27" s="5">
        <f t="shared" si="3"/>
        <v>120.1</v>
      </c>
    </row>
    <row r="28" spans="1:17" ht="16.5">
      <c r="A28" s="86">
        <f t="shared" si="4"/>
        <v>25</v>
      </c>
      <c r="B28" s="79">
        <f t="shared" si="5"/>
        <v>370.5</v>
      </c>
      <c r="C28" s="249"/>
      <c r="D28" s="86">
        <f t="shared" si="0"/>
        <v>25</v>
      </c>
      <c r="E28" s="79">
        <f t="shared" si="6"/>
        <v>370.5</v>
      </c>
      <c r="G28" s="86">
        <f t="shared" si="1"/>
        <v>25</v>
      </c>
      <c r="H28" s="79">
        <f t="shared" si="7"/>
        <v>544.1</v>
      </c>
      <c r="I28" s="28"/>
      <c r="J28" s="86">
        <f t="shared" si="2"/>
        <v>25</v>
      </c>
      <c r="K28" s="85">
        <f t="shared" si="8"/>
        <v>597.5</v>
      </c>
      <c r="M28" s="4">
        <v>25</v>
      </c>
      <c r="N28" s="5">
        <f t="shared" si="3"/>
        <v>123.1</v>
      </c>
    </row>
    <row r="29" spans="1:17" ht="16.5">
      <c r="A29" s="86">
        <f t="shared" si="4"/>
        <v>26</v>
      </c>
      <c r="B29" s="79">
        <f t="shared" si="5"/>
        <v>384.40000000000003</v>
      </c>
      <c r="C29" s="249"/>
      <c r="D29" s="86">
        <f t="shared" si="0"/>
        <v>26</v>
      </c>
      <c r="E29" s="79">
        <f t="shared" si="6"/>
        <v>384.40000000000003</v>
      </c>
      <c r="G29" s="86">
        <f t="shared" si="1"/>
        <v>26</v>
      </c>
      <c r="H29" s="79">
        <f t="shared" si="7"/>
        <v>564.5</v>
      </c>
      <c r="I29" s="28"/>
      <c r="J29" s="86">
        <f t="shared" si="2"/>
        <v>26</v>
      </c>
      <c r="K29" s="85">
        <f t="shared" si="8"/>
        <v>619.9</v>
      </c>
      <c r="M29" s="4">
        <v>26</v>
      </c>
      <c r="N29" s="5">
        <f t="shared" si="3"/>
        <v>126.1</v>
      </c>
    </row>
    <row r="30" spans="1:17" ht="16.5">
      <c r="A30" s="86">
        <f t="shared" si="4"/>
        <v>27</v>
      </c>
      <c r="B30" s="79">
        <f t="shared" si="5"/>
        <v>398.3</v>
      </c>
      <c r="C30" s="249"/>
      <c r="D30" s="86">
        <f t="shared" si="0"/>
        <v>27</v>
      </c>
      <c r="E30" s="79">
        <f t="shared" si="6"/>
        <v>398.3</v>
      </c>
      <c r="G30" s="86">
        <f t="shared" si="1"/>
        <v>27</v>
      </c>
      <c r="H30" s="79">
        <f t="shared" si="7"/>
        <v>584.9</v>
      </c>
      <c r="I30" s="28"/>
      <c r="J30" s="86">
        <f t="shared" si="2"/>
        <v>27</v>
      </c>
      <c r="K30" s="85">
        <f t="shared" si="8"/>
        <v>642.29999999999995</v>
      </c>
      <c r="M30" s="4">
        <v>27</v>
      </c>
      <c r="N30" s="5">
        <f t="shared" si="3"/>
        <v>129.1</v>
      </c>
    </row>
    <row r="31" spans="1:17" ht="16.5">
      <c r="A31" s="86">
        <f t="shared" si="4"/>
        <v>28</v>
      </c>
      <c r="B31" s="79">
        <f t="shared" si="5"/>
        <v>412.2</v>
      </c>
      <c r="C31" s="249"/>
      <c r="D31" s="86">
        <f t="shared" si="0"/>
        <v>28</v>
      </c>
      <c r="E31" s="79">
        <f t="shared" si="6"/>
        <v>412.2</v>
      </c>
      <c r="G31" s="86">
        <f t="shared" si="1"/>
        <v>28</v>
      </c>
      <c r="H31" s="79">
        <f t="shared" si="7"/>
        <v>605.29999999999995</v>
      </c>
      <c r="I31" s="28"/>
      <c r="J31" s="86">
        <f t="shared" si="2"/>
        <v>28</v>
      </c>
      <c r="K31" s="85">
        <f t="shared" si="8"/>
        <v>664.69999999999993</v>
      </c>
      <c r="M31" s="4">
        <v>28</v>
      </c>
      <c r="N31" s="5">
        <f t="shared" si="3"/>
        <v>132.1</v>
      </c>
    </row>
    <row r="32" spans="1:17" ht="16.5">
      <c r="A32" s="86">
        <f t="shared" si="4"/>
        <v>29</v>
      </c>
      <c r="B32" s="79">
        <f t="shared" si="5"/>
        <v>426.1</v>
      </c>
      <c r="C32" s="249"/>
      <c r="D32" s="86">
        <f t="shared" si="0"/>
        <v>29</v>
      </c>
      <c r="E32" s="79">
        <f t="shared" si="6"/>
        <v>426.1</v>
      </c>
      <c r="G32" s="86">
        <f t="shared" si="1"/>
        <v>29</v>
      </c>
      <c r="H32" s="79">
        <f t="shared" si="7"/>
        <v>625.69999999999993</v>
      </c>
      <c r="I32" s="28"/>
      <c r="J32" s="86">
        <f t="shared" si="2"/>
        <v>29</v>
      </c>
      <c r="K32" s="85">
        <f t="shared" si="8"/>
        <v>687.09999999999991</v>
      </c>
      <c r="M32" s="4">
        <v>29</v>
      </c>
      <c r="N32" s="5">
        <f t="shared" si="3"/>
        <v>135.1</v>
      </c>
    </row>
    <row r="33" spans="1:14" ht="16.5">
      <c r="A33" s="86">
        <f t="shared" si="4"/>
        <v>30</v>
      </c>
      <c r="B33" s="79">
        <f t="shared" si="5"/>
        <v>440</v>
      </c>
      <c r="C33" s="249"/>
      <c r="D33" s="86">
        <f t="shared" si="0"/>
        <v>30</v>
      </c>
      <c r="E33" s="79">
        <f t="shared" si="6"/>
        <v>440</v>
      </c>
      <c r="G33" s="86">
        <f t="shared" si="1"/>
        <v>30</v>
      </c>
      <c r="H33" s="79">
        <f t="shared" si="7"/>
        <v>646.09999999999991</v>
      </c>
      <c r="I33" s="28"/>
      <c r="J33" s="86">
        <f t="shared" si="2"/>
        <v>30</v>
      </c>
      <c r="K33" s="85">
        <f t="shared" si="8"/>
        <v>709.5</v>
      </c>
      <c r="M33" s="4">
        <v>30</v>
      </c>
      <c r="N33" s="5">
        <f t="shared" si="3"/>
        <v>138.1</v>
      </c>
    </row>
    <row r="34" spans="1:14" ht="16.5">
      <c r="A34" s="86">
        <f>A33+1</f>
        <v>31</v>
      </c>
      <c r="B34" s="80">
        <f>$B$33+(A34-$A$33)*$Q$11</f>
        <v>451.6</v>
      </c>
      <c r="C34" s="249"/>
      <c r="D34" s="86">
        <f t="shared" si="0"/>
        <v>31</v>
      </c>
      <c r="E34" s="80">
        <f>$E$33+(A34-$A$33)*$Q$6</f>
        <v>451.6</v>
      </c>
      <c r="G34" s="86">
        <f t="shared" si="1"/>
        <v>31</v>
      </c>
      <c r="H34" s="80">
        <f>$H$33+(A34-$A$33)*$Q$16</f>
        <v>663.09999999999991</v>
      </c>
      <c r="I34" s="28"/>
      <c r="J34" s="86">
        <f t="shared" si="2"/>
        <v>31</v>
      </c>
      <c r="K34" s="80">
        <f>$K$33+(A34-$A$33)*$Q$21</f>
        <v>728.2</v>
      </c>
      <c r="M34" s="4">
        <v>31</v>
      </c>
      <c r="N34" s="5">
        <f t="shared" si="3"/>
        <v>141.1</v>
      </c>
    </row>
    <row r="35" spans="1:14" ht="16.5">
      <c r="A35" s="86">
        <f t="shared" ref="A35:A98" si="9">A34+1</f>
        <v>32</v>
      </c>
      <c r="B35" s="80">
        <f t="shared" ref="B35:B98" si="10">$B$33+(A35-$A$33)*$Q$11</f>
        <v>463.2</v>
      </c>
      <c r="C35" s="249"/>
      <c r="D35" s="86">
        <f t="shared" si="0"/>
        <v>32</v>
      </c>
      <c r="E35" s="80">
        <f t="shared" ref="E35:E98" si="11">$E$33+(A35-$A$33)*$Q$6</f>
        <v>463.2</v>
      </c>
      <c r="G35" s="86">
        <f t="shared" si="1"/>
        <v>32</v>
      </c>
      <c r="H35" s="80">
        <f t="shared" ref="H35:H98" si="12">$H$33+(A35-$A$33)*$Q$16</f>
        <v>680.09999999999991</v>
      </c>
      <c r="I35" s="28"/>
      <c r="J35" s="86">
        <f t="shared" si="2"/>
        <v>32</v>
      </c>
      <c r="K35" s="80">
        <f t="shared" ref="K35:K98" si="13">$K$33+(A35-$A$33)*$Q$21</f>
        <v>746.9</v>
      </c>
      <c r="M35" s="4">
        <v>32</v>
      </c>
      <c r="N35" s="5">
        <f t="shared" si="3"/>
        <v>144.1</v>
      </c>
    </row>
    <row r="36" spans="1:14" ht="16.5">
      <c r="A36" s="86">
        <f t="shared" si="9"/>
        <v>33</v>
      </c>
      <c r="B36" s="80">
        <f t="shared" si="10"/>
        <v>474.8</v>
      </c>
      <c r="C36" s="249"/>
      <c r="D36" s="86">
        <f t="shared" si="0"/>
        <v>33</v>
      </c>
      <c r="E36" s="80">
        <f t="shared" si="11"/>
        <v>474.8</v>
      </c>
      <c r="G36" s="86">
        <f t="shared" si="1"/>
        <v>33</v>
      </c>
      <c r="H36" s="80">
        <f t="shared" si="12"/>
        <v>697.09999999999991</v>
      </c>
      <c r="I36" s="28"/>
      <c r="J36" s="86">
        <f t="shared" si="2"/>
        <v>33</v>
      </c>
      <c r="K36" s="80">
        <f t="shared" si="13"/>
        <v>765.6</v>
      </c>
      <c r="M36" s="4">
        <v>33</v>
      </c>
      <c r="N36" s="5">
        <f t="shared" si="3"/>
        <v>147.1</v>
      </c>
    </row>
    <row r="37" spans="1:14" ht="16.5">
      <c r="A37" s="86">
        <f t="shared" si="9"/>
        <v>34</v>
      </c>
      <c r="B37" s="80">
        <f t="shared" si="10"/>
        <v>486.4</v>
      </c>
      <c r="C37" s="249"/>
      <c r="D37" s="86">
        <f t="shared" si="0"/>
        <v>34</v>
      </c>
      <c r="E37" s="80">
        <f t="shared" si="11"/>
        <v>486.4</v>
      </c>
      <c r="G37" s="86">
        <f t="shared" si="1"/>
        <v>34</v>
      </c>
      <c r="H37" s="80">
        <f t="shared" si="12"/>
        <v>714.09999999999991</v>
      </c>
      <c r="I37" s="28"/>
      <c r="J37" s="86">
        <f t="shared" si="2"/>
        <v>34</v>
      </c>
      <c r="K37" s="80">
        <f t="shared" si="13"/>
        <v>784.3</v>
      </c>
      <c r="M37" s="4">
        <v>34</v>
      </c>
      <c r="N37" s="5">
        <f t="shared" si="3"/>
        <v>150.1</v>
      </c>
    </row>
    <row r="38" spans="1:14" ht="16.5">
      <c r="A38" s="86">
        <f t="shared" si="9"/>
        <v>35</v>
      </c>
      <c r="B38" s="80">
        <f t="shared" si="10"/>
        <v>498</v>
      </c>
      <c r="C38" s="249"/>
      <c r="D38" s="86">
        <f t="shared" si="0"/>
        <v>35</v>
      </c>
      <c r="E38" s="80">
        <f t="shared" si="11"/>
        <v>498</v>
      </c>
      <c r="G38" s="86">
        <f t="shared" si="1"/>
        <v>35</v>
      </c>
      <c r="H38" s="80">
        <f t="shared" si="12"/>
        <v>731.09999999999991</v>
      </c>
      <c r="I38" s="28"/>
      <c r="J38" s="86">
        <f t="shared" si="2"/>
        <v>35</v>
      </c>
      <c r="K38" s="80">
        <f t="shared" si="13"/>
        <v>803</v>
      </c>
      <c r="M38" s="4">
        <v>35</v>
      </c>
      <c r="N38" s="5">
        <f t="shared" si="3"/>
        <v>153.1</v>
      </c>
    </row>
    <row r="39" spans="1:14" ht="16.5">
      <c r="A39" s="86">
        <f t="shared" si="9"/>
        <v>36</v>
      </c>
      <c r="B39" s="80">
        <f t="shared" si="10"/>
        <v>509.6</v>
      </c>
      <c r="C39" s="249"/>
      <c r="D39" s="86">
        <f t="shared" si="0"/>
        <v>36</v>
      </c>
      <c r="E39" s="80">
        <f t="shared" si="11"/>
        <v>509.6</v>
      </c>
      <c r="G39" s="86">
        <f t="shared" si="1"/>
        <v>36</v>
      </c>
      <c r="H39" s="80">
        <f t="shared" si="12"/>
        <v>748.09999999999991</v>
      </c>
      <c r="I39" s="28"/>
      <c r="J39" s="86">
        <f t="shared" si="2"/>
        <v>36</v>
      </c>
      <c r="K39" s="80">
        <f t="shared" si="13"/>
        <v>821.7</v>
      </c>
      <c r="M39" s="4">
        <v>36</v>
      </c>
      <c r="N39" s="5">
        <f t="shared" si="3"/>
        <v>156.1</v>
      </c>
    </row>
    <row r="40" spans="1:14" ht="16.5">
      <c r="A40" s="86">
        <f t="shared" si="9"/>
        <v>37</v>
      </c>
      <c r="B40" s="80">
        <f t="shared" si="10"/>
        <v>521.20000000000005</v>
      </c>
      <c r="C40" s="249"/>
      <c r="D40" s="86">
        <f t="shared" si="0"/>
        <v>37</v>
      </c>
      <c r="E40" s="80">
        <f t="shared" si="11"/>
        <v>521.20000000000005</v>
      </c>
      <c r="G40" s="86">
        <f t="shared" si="1"/>
        <v>37</v>
      </c>
      <c r="H40" s="80">
        <f t="shared" si="12"/>
        <v>765.09999999999991</v>
      </c>
      <c r="I40" s="28"/>
      <c r="J40" s="86">
        <f t="shared" si="2"/>
        <v>37</v>
      </c>
      <c r="K40" s="80">
        <f t="shared" si="13"/>
        <v>840.4</v>
      </c>
      <c r="M40" s="4">
        <v>37</v>
      </c>
      <c r="N40" s="5">
        <f t="shared" si="3"/>
        <v>159.1</v>
      </c>
    </row>
    <row r="41" spans="1:14" ht="16.5">
      <c r="A41" s="86">
        <f t="shared" si="9"/>
        <v>38</v>
      </c>
      <c r="B41" s="80">
        <f t="shared" si="10"/>
        <v>532.79999999999995</v>
      </c>
      <c r="C41" s="249"/>
      <c r="D41" s="86">
        <f t="shared" si="0"/>
        <v>38</v>
      </c>
      <c r="E41" s="80">
        <f t="shared" si="11"/>
        <v>532.79999999999995</v>
      </c>
      <c r="G41" s="86">
        <f t="shared" si="1"/>
        <v>38</v>
      </c>
      <c r="H41" s="80">
        <f t="shared" si="12"/>
        <v>782.09999999999991</v>
      </c>
      <c r="I41" s="28"/>
      <c r="J41" s="86">
        <f t="shared" si="2"/>
        <v>38</v>
      </c>
      <c r="K41" s="80">
        <f t="shared" si="13"/>
        <v>859.1</v>
      </c>
      <c r="M41" s="4">
        <v>38</v>
      </c>
      <c r="N41" s="5">
        <f t="shared" si="3"/>
        <v>162.1</v>
      </c>
    </row>
    <row r="42" spans="1:14" ht="16.5">
      <c r="A42" s="86">
        <f t="shared" si="9"/>
        <v>39</v>
      </c>
      <c r="B42" s="80">
        <f t="shared" si="10"/>
        <v>544.4</v>
      </c>
      <c r="C42" s="249"/>
      <c r="D42" s="86">
        <f t="shared" si="0"/>
        <v>39</v>
      </c>
      <c r="E42" s="80">
        <f t="shared" si="11"/>
        <v>544.4</v>
      </c>
      <c r="G42" s="86">
        <f t="shared" si="1"/>
        <v>39</v>
      </c>
      <c r="H42" s="80">
        <f t="shared" si="12"/>
        <v>799.09999999999991</v>
      </c>
      <c r="I42" s="28"/>
      <c r="J42" s="86">
        <f t="shared" si="2"/>
        <v>39</v>
      </c>
      <c r="K42" s="80">
        <f t="shared" si="13"/>
        <v>877.8</v>
      </c>
      <c r="M42" s="4">
        <v>39</v>
      </c>
      <c r="N42" s="5">
        <f t="shared" si="3"/>
        <v>165.1</v>
      </c>
    </row>
    <row r="43" spans="1:14" ht="16.5">
      <c r="A43" s="86">
        <f t="shared" si="9"/>
        <v>40</v>
      </c>
      <c r="B43" s="80">
        <f t="shared" si="10"/>
        <v>556</v>
      </c>
      <c r="C43" s="249"/>
      <c r="D43" s="86">
        <f t="shared" si="0"/>
        <v>40</v>
      </c>
      <c r="E43" s="80">
        <f t="shared" si="11"/>
        <v>556</v>
      </c>
      <c r="G43" s="86">
        <f t="shared" si="1"/>
        <v>40</v>
      </c>
      <c r="H43" s="80">
        <f t="shared" si="12"/>
        <v>816.09999999999991</v>
      </c>
      <c r="I43" s="28"/>
      <c r="J43" s="86">
        <f t="shared" si="2"/>
        <v>40</v>
      </c>
      <c r="K43" s="80">
        <f t="shared" si="13"/>
        <v>896.5</v>
      </c>
      <c r="M43" s="4">
        <v>40</v>
      </c>
      <c r="N43" s="5">
        <f t="shared" si="3"/>
        <v>168.1</v>
      </c>
    </row>
    <row r="44" spans="1:14" ht="16.5">
      <c r="A44" s="86">
        <f t="shared" si="9"/>
        <v>41</v>
      </c>
      <c r="B44" s="80">
        <f t="shared" si="10"/>
        <v>567.6</v>
      </c>
      <c r="C44" s="249"/>
      <c r="D44" s="86">
        <f t="shared" si="0"/>
        <v>41</v>
      </c>
      <c r="E44" s="80">
        <f t="shared" si="11"/>
        <v>567.6</v>
      </c>
      <c r="G44" s="86">
        <f t="shared" si="1"/>
        <v>41</v>
      </c>
      <c r="H44" s="80">
        <f t="shared" si="12"/>
        <v>833.09999999999991</v>
      </c>
      <c r="I44" s="28"/>
      <c r="J44" s="86">
        <f t="shared" si="2"/>
        <v>41</v>
      </c>
      <c r="K44" s="80">
        <f t="shared" si="13"/>
        <v>915.2</v>
      </c>
      <c r="M44" s="4">
        <v>41</v>
      </c>
      <c r="N44" s="5">
        <f t="shared" si="3"/>
        <v>171.1</v>
      </c>
    </row>
    <row r="45" spans="1:14" ht="16.5">
      <c r="A45" s="86">
        <f t="shared" si="9"/>
        <v>42</v>
      </c>
      <c r="B45" s="80">
        <f t="shared" si="10"/>
        <v>579.20000000000005</v>
      </c>
      <c r="C45" s="249"/>
      <c r="D45" s="86">
        <f t="shared" si="0"/>
        <v>42</v>
      </c>
      <c r="E45" s="80">
        <f t="shared" si="11"/>
        <v>579.20000000000005</v>
      </c>
      <c r="G45" s="86">
        <f t="shared" si="1"/>
        <v>42</v>
      </c>
      <c r="H45" s="80">
        <f t="shared" si="12"/>
        <v>850.09999999999991</v>
      </c>
      <c r="I45" s="28"/>
      <c r="J45" s="86">
        <f t="shared" si="2"/>
        <v>42</v>
      </c>
      <c r="K45" s="80">
        <f t="shared" si="13"/>
        <v>933.9</v>
      </c>
      <c r="M45" s="4">
        <v>42</v>
      </c>
      <c r="N45" s="5">
        <f t="shared" si="3"/>
        <v>174.1</v>
      </c>
    </row>
    <row r="46" spans="1:14" ht="16.5">
      <c r="A46" s="86">
        <f t="shared" si="9"/>
        <v>43</v>
      </c>
      <c r="B46" s="80">
        <f t="shared" si="10"/>
        <v>590.79999999999995</v>
      </c>
      <c r="C46" s="249"/>
      <c r="D46" s="86">
        <f t="shared" si="0"/>
        <v>43</v>
      </c>
      <c r="E46" s="80">
        <f t="shared" si="11"/>
        <v>590.79999999999995</v>
      </c>
      <c r="G46" s="86">
        <f t="shared" si="1"/>
        <v>43</v>
      </c>
      <c r="H46" s="80">
        <f t="shared" si="12"/>
        <v>867.09999999999991</v>
      </c>
      <c r="I46" s="28"/>
      <c r="J46" s="86">
        <f t="shared" si="2"/>
        <v>43</v>
      </c>
      <c r="K46" s="80">
        <f t="shared" si="13"/>
        <v>952.6</v>
      </c>
      <c r="M46" s="4">
        <v>43</v>
      </c>
      <c r="N46" s="5">
        <f t="shared" si="3"/>
        <v>177.1</v>
      </c>
    </row>
    <row r="47" spans="1:14" ht="16.5">
      <c r="A47" s="86">
        <f t="shared" si="9"/>
        <v>44</v>
      </c>
      <c r="B47" s="80">
        <f t="shared" si="10"/>
        <v>602.4</v>
      </c>
      <c r="C47" s="249"/>
      <c r="D47" s="86">
        <f t="shared" si="0"/>
        <v>44</v>
      </c>
      <c r="E47" s="80">
        <f t="shared" si="11"/>
        <v>602.4</v>
      </c>
      <c r="G47" s="86">
        <f t="shared" si="1"/>
        <v>44</v>
      </c>
      <c r="H47" s="80">
        <f t="shared" si="12"/>
        <v>884.09999999999991</v>
      </c>
      <c r="I47" s="28"/>
      <c r="J47" s="86">
        <f t="shared" si="2"/>
        <v>44</v>
      </c>
      <c r="K47" s="80">
        <f t="shared" si="13"/>
        <v>971.3</v>
      </c>
      <c r="M47" s="4">
        <v>44</v>
      </c>
      <c r="N47" s="5">
        <f t="shared" si="3"/>
        <v>180.1</v>
      </c>
    </row>
    <row r="48" spans="1:14" ht="16.5">
      <c r="A48" s="86">
        <f t="shared" si="9"/>
        <v>45</v>
      </c>
      <c r="B48" s="80">
        <f t="shared" si="10"/>
        <v>614</v>
      </c>
      <c r="C48" s="249"/>
      <c r="D48" s="86">
        <f t="shared" si="0"/>
        <v>45</v>
      </c>
      <c r="E48" s="80">
        <f t="shared" si="11"/>
        <v>614</v>
      </c>
      <c r="G48" s="86">
        <f t="shared" si="1"/>
        <v>45</v>
      </c>
      <c r="H48" s="80">
        <f t="shared" si="12"/>
        <v>901.09999999999991</v>
      </c>
      <c r="I48" s="28"/>
      <c r="J48" s="86">
        <f t="shared" si="2"/>
        <v>45</v>
      </c>
      <c r="K48" s="80">
        <f t="shared" si="13"/>
        <v>990</v>
      </c>
      <c r="M48" s="4">
        <v>45</v>
      </c>
      <c r="N48" s="5">
        <f t="shared" si="3"/>
        <v>183.1</v>
      </c>
    </row>
    <row r="49" spans="1:14" ht="16.5">
      <c r="A49" s="86">
        <f t="shared" si="9"/>
        <v>46</v>
      </c>
      <c r="B49" s="80">
        <f t="shared" si="10"/>
        <v>625.6</v>
      </c>
      <c r="C49" s="249"/>
      <c r="D49" s="86">
        <f t="shared" si="0"/>
        <v>46</v>
      </c>
      <c r="E49" s="80">
        <f t="shared" si="11"/>
        <v>625.6</v>
      </c>
      <c r="G49" s="86">
        <f t="shared" si="1"/>
        <v>46</v>
      </c>
      <c r="H49" s="80">
        <f t="shared" si="12"/>
        <v>918.09999999999991</v>
      </c>
      <c r="I49" s="28"/>
      <c r="J49" s="86">
        <f t="shared" si="2"/>
        <v>46</v>
      </c>
      <c r="K49" s="80">
        <f t="shared" si="13"/>
        <v>1008.7</v>
      </c>
      <c r="M49" s="4">
        <v>46</v>
      </c>
      <c r="N49" s="5">
        <f t="shared" si="3"/>
        <v>186.1</v>
      </c>
    </row>
    <row r="50" spans="1:14" ht="16.5">
      <c r="A50" s="86">
        <f t="shared" si="9"/>
        <v>47</v>
      </c>
      <c r="B50" s="80">
        <f t="shared" si="10"/>
        <v>637.20000000000005</v>
      </c>
      <c r="C50" s="249"/>
      <c r="D50" s="86">
        <f t="shared" si="0"/>
        <v>47</v>
      </c>
      <c r="E50" s="80">
        <f t="shared" si="11"/>
        <v>637.20000000000005</v>
      </c>
      <c r="G50" s="86">
        <f t="shared" si="1"/>
        <v>47</v>
      </c>
      <c r="H50" s="80">
        <f t="shared" si="12"/>
        <v>935.09999999999991</v>
      </c>
      <c r="I50" s="28"/>
      <c r="J50" s="86">
        <f t="shared" si="2"/>
        <v>47</v>
      </c>
      <c r="K50" s="80">
        <f t="shared" si="13"/>
        <v>1027.4000000000001</v>
      </c>
      <c r="M50" s="4">
        <v>47</v>
      </c>
      <c r="N50" s="5">
        <f t="shared" si="3"/>
        <v>189.1</v>
      </c>
    </row>
    <row r="51" spans="1:14" ht="16.5">
      <c r="A51" s="86">
        <f t="shared" si="9"/>
        <v>48</v>
      </c>
      <c r="B51" s="80">
        <f t="shared" si="10"/>
        <v>648.79999999999995</v>
      </c>
      <c r="C51" s="249"/>
      <c r="D51" s="86">
        <f t="shared" si="0"/>
        <v>48</v>
      </c>
      <c r="E51" s="80">
        <f t="shared" si="11"/>
        <v>648.79999999999995</v>
      </c>
      <c r="G51" s="86">
        <f t="shared" si="1"/>
        <v>48</v>
      </c>
      <c r="H51" s="80">
        <f t="shared" si="12"/>
        <v>952.09999999999991</v>
      </c>
      <c r="I51" s="28"/>
      <c r="J51" s="86">
        <f t="shared" si="2"/>
        <v>48</v>
      </c>
      <c r="K51" s="80">
        <f t="shared" si="13"/>
        <v>1046.0999999999999</v>
      </c>
      <c r="M51" s="4">
        <v>48</v>
      </c>
      <c r="N51" s="5">
        <f t="shared" si="3"/>
        <v>192.1</v>
      </c>
    </row>
    <row r="52" spans="1:14" ht="16.5">
      <c r="A52" s="86">
        <f t="shared" si="9"/>
        <v>49</v>
      </c>
      <c r="B52" s="80">
        <f t="shared" si="10"/>
        <v>660.4</v>
      </c>
      <c r="C52" s="249"/>
      <c r="D52" s="86">
        <f t="shared" si="0"/>
        <v>49</v>
      </c>
      <c r="E52" s="80">
        <f t="shared" si="11"/>
        <v>660.4</v>
      </c>
      <c r="G52" s="86">
        <f t="shared" si="1"/>
        <v>49</v>
      </c>
      <c r="H52" s="80">
        <f t="shared" si="12"/>
        <v>969.09999999999991</v>
      </c>
      <c r="I52" s="28"/>
      <c r="J52" s="86">
        <f t="shared" si="2"/>
        <v>49</v>
      </c>
      <c r="K52" s="80">
        <f t="shared" si="13"/>
        <v>1064.8</v>
      </c>
      <c r="M52" s="4">
        <v>49</v>
      </c>
      <c r="N52" s="5">
        <f t="shared" si="3"/>
        <v>195.1</v>
      </c>
    </row>
    <row r="53" spans="1:14" ht="16.5">
      <c r="A53" s="86">
        <f t="shared" si="9"/>
        <v>50</v>
      </c>
      <c r="B53" s="80">
        <f t="shared" si="10"/>
        <v>672</v>
      </c>
      <c r="C53" s="249"/>
      <c r="D53" s="86">
        <f t="shared" si="0"/>
        <v>50</v>
      </c>
      <c r="E53" s="80">
        <f t="shared" si="11"/>
        <v>672</v>
      </c>
      <c r="G53" s="86">
        <f t="shared" si="1"/>
        <v>50</v>
      </c>
      <c r="H53" s="80">
        <f t="shared" si="12"/>
        <v>986.09999999999991</v>
      </c>
      <c r="I53" s="28"/>
      <c r="J53" s="86">
        <f t="shared" si="2"/>
        <v>50</v>
      </c>
      <c r="K53" s="80">
        <f t="shared" si="13"/>
        <v>1083.5</v>
      </c>
      <c r="M53" s="4">
        <v>50</v>
      </c>
      <c r="N53" s="5">
        <f t="shared" si="3"/>
        <v>198.1</v>
      </c>
    </row>
    <row r="54" spans="1:14" ht="16.5">
      <c r="A54" s="86">
        <f t="shared" si="9"/>
        <v>51</v>
      </c>
      <c r="B54" s="80">
        <f t="shared" si="10"/>
        <v>683.6</v>
      </c>
      <c r="C54" s="249"/>
      <c r="D54" s="86">
        <f t="shared" si="0"/>
        <v>51</v>
      </c>
      <c r="E54" s="80">
        <f t="shared" si="11"/>
        <v>683.6</v>
      </c>
      <c r="G54" s="86">
        <f t="shared" si="1"/>
        <v>51</v>
      </c>
      <c r="H54" s="80">
        <f t="shared" si="12"/>
        <v>1003.0999999999999</v>
      </c>
      <c r="I54" s="28"/>
      <c r="J54" s="86">
        <f t="shared" si="2"/>
        <v>51</v>
      </c>
      <c r="K54" s="80">
        <f t="shared" si="13"/>
        <v>1102.2</v>
      </c>
      <c r="M54" s="4">
        <v>51</v>
      </c>
      <c r="N54" s="5">
        <f t="shared" si="3"/>
        <v>201.1</v>
      </c>
    </row>
    <row r="55" spans="1:14" ht="16.5">
      <c r="A55" s="86">
        <f t="shared" si="9"/>
        <v>52</v>
      </c>
      <c r="B55" s="80">
        <f t="shared" si="10"/>
        <v>695.2</v>
      </c>
      <c r="C55" s="249"/>
      <c r="D55" s="86">
        <f t="shared" si="0"/>
        <v>52</v>
      </c>
      <c r="E55" s="80">
        <f t="shared" si="11"/>
        <v>695.2</v>
      </c>
      <c r="G55" s="86">
        <f t="shared" si="1"/>
        <v>52</v>
      </c>
      <c r="H55" s="80">
        <f t="shared" si="12"/>
        <v>1020.0999999999999</v>
      </c>
      <c r="I55" s="28"/>
      <c r="J55" s="86">
        <f t="shared" si="2"/>
        <v>52</v>
      </c>
      <c r="K55" s="80">
        <f t="shared" si="13"/>
        <v>1120.9000000000001</v>
      </c>
      <c r="M55" s="4">
        <v>52</v>
      </c>
      <c r="N55" s="5">
        <f t="shared" si="3"/>
        <v>204.1</v>
      </c>
    </row>
    <row r="56" spans="1:14" ht="16.5">
      <c r="A56" s="86">
        <f t="shared" si="9"/>
        <v>53</v>
      </c>
      <c r="B56" s="80">
        <f t="shared" si="10"/>
        <v>706.8</v>
      </c>
      <c r="C56" s="249"/>
      <c r="D56" s="86">
        <f t="shared" si="0"/>
        <v>53</v>
      </c>
      <c r="E56" s="80">
        <f t="shared" si="11"/>
        <v>706.8</v>
      </c>
      <c r="G56" s="86">
        <f t="shared" si="1"/>
        <v>53</v>
      </c>
      <c r="H56" s="80">
        <f t="shared" si="12"/>
        <v>1037.0999999999999</v>
      </c>
      <c r="I56" s="28"/>
      <c r="J56" s="86">
        <f t="shared" si="2"/>
        <v>53</v>
      </c>
      <c r="K56" s="80">
        <f t="shared" si="13"/>
        <v>1139.5999999999999</v>
      </c>
      <c r="M56" s="4">
        <v>53</v>
      </c>
      <c r="N56" s="5">
        <f t="shared" si="3"/>
        <v>207.1</v>
      </c>
    </row>
    <row r="57" spans="1:14" ht="16.5">
      <c r="A57" s="86">
        <f t="shared" si="9"/>
        <v>54</v>
      </c>
      <c r="B57" s="80">
        <f t="shared" si="10"/>
        <v>718.4</v>
      </c>
      <c r="C57" s="249"/>
      <c r="D57" s="86">
        <f t="shared" si="0"/>
        <v>54</v>
      </c>
      <c r="E57" s="80">
        <f t="shared" si="11"/>
        <v>718.4</v>
      </c>
      <c r="G57" s="86">
        <f t="shared" si="1"/>
        <v>54</v>
      </c>
      <c r="H57" s="80">
        <f t="shared" si="12"/>
        <v>1054.0999999999999</v>
      </c>
      <c r="I57" s="28"/>
      <c r="J57" s="86">
        <f t="shared" si="2"/>
        <v>54</v>
      </c>
      <c r="K57" s="80">
        <f t="shared" si="13"/>
        <v>1158.3</v>
      </c>
      <c r="M57" s="4">
        <v>54</v>
      </c>
      <c r="N57" s="5">
        <f t="shared" si="3"/>
        <v>210.1</v>
      </c>
    </row>
    <row r="58" spans="1:14" ht="16.5">
      <c r="A58" s="86">
        <f t="shared" si="9"/>
        <v>55</v>
      </c>
      <c r="B58" s="80">
        <f t="shared" si="10"/>
        <v>730</v>
      </c>
      <c r="C58" s="249"/>
      <c r="D58" s="86">
        <f t="shared" si="0"/>
        <v>55</v>
      </c>
      <c r="E58" s="80">
        <f t="shared" si="11"/>
        <v>730</v>
      </c>
      <c r="G58" s="86">
        <f t="shared" si="1"/>
        <v>55</v>
      </c>
      <c r="H58" s="80">
        <f t="shared" si="12"/>
        <v>1071.0999999999999</v>
      </c>
      <c r="I58" s="28"/>
      <c r="J58" s="86">
        <f t="shared" si="2"/>
        <v>55</v>
      </c>
      <c r="K58" s="80">
        <f t="shared" si="13"/>
        <v>1177</v>
      </c>
      <c r="M58" s="4">
        <v>55</v>
      </c>
      <c r="N58" s="5">
        <f t="shared" si="3"/>
        <v>213.1</v>
      </c>
    </row>
    <row r="59" spans="1:14" ht="16.5">
      <c r="A59" s="86">
        <f t="shared" si="9"/>
        <v>56</v>
      </c>
      <c r="B59" s="80">
        <f t="shared" si="10"/>
        <v>741.59999999999991</v>
      </c>
      <c r="C59" s="249"/>
      <c r="D59" s="86">
        <f t="shared" si="0"/>
        <v>56</v>
      </c>
      <c r="E59" s="80">
        <f t="shared" si="11"/>
        <v>741.59999999999991</v>
      </c>
      <c r="G59" s="86">
        <f t="shared" si="1"/>
        <v>56</v>
      </c>
      <c r="H59" s="80">
        <f t="shared" si="12"/>
        <v>1088.0999999999999</v>
      </c>
      <c r="I59" s="28"/>
      <c r="J59" s="86">
        <f t="shared" si="2"/>
        <v>56</v>
      </c>
      <c r="K59" s="80">
        <f t="shared" si="13"/>
        <v>1195.7</v>
      </c>
      <c r="M59" s="4">
        <v>56</v>
      </c>
      <c r="N59" s="5">
        <f t="shared" si="3"/>
        <v>216.1</v>
      </c>
    </row>
    <row r="60" spans="1:14" ht="16.5">
      <c r="A60" s="86">
        <f t="shared" si="9"/>
        <v>57</v>
      </c>
      <c r="B60" s="80">
        <f t="shared" si="10"/>
        <v>753.2</v>
      </c>
      <c r="C60" s="249"/>
      <c r="D60" s="86">
        <f t="shared" si="0"/>
        <v>57</v>
      </c>
      <c r="E60" s="80">
        <f t="shared" si="11"/>
        <v>753.2</v>
      </c>
      <c r="G60" s="86">
        <f t="shared" si="1"/>
        <v>57</v>
      </c>
      <c r="H60" s="80">
        <f t="shared" si="12"/>
        <v>1105.0999999999999</v>
      </c>
      <c r="I60" s="28"/>
      <c r="J60" s="86">
        <f t="shared" si="2"/>
        <v>57</v>
      </c>
      <c r="K60" s="80">
        <f t="shared" si="13"/>
        <v>1214.4000000000001</v>
      </c>
      <c r="M60" s="4">
        <v>57</v>
      </c>
      <c r="N60" s="5">
        <f t="shared" si="3"/>
        <v>219.1</v>
      </c>
    </row>
    <row r="61" spans="1:14" ht="16.5">
      <c r="A61" s="86">
        <f t="shared" si="9"/>
        <v>58</v>
      </c>
      <c r="B61" s="80">
        <f t="shared" si="10"/>
        <v>764.8</v>
      </c>
      <c r="C61" s="249"/>
      <c r="D61" s="86">
        <f t="shared" si="0"/>
        <v>58</v>
      </c>
      <c r="E61" s="80">
        <f t="shared" si="11"/>
        <v>764.8</v>
      </c>
      <c r="G61" s="86">
        <f t="shared" si="1"/>
        <v>58</v>
      </c>
      <c r="H61" s="80">
        <f t="shared" si="12"/>
        <v>1122.0999999999999</v>
      </c>
      <c r="I61" s="28"/>
      <c r="J61" s="86">
        <f t="shared" si="2"/>
        <v>58</v>
      </c>
      <c r="K61" s="80">
        <f t="shared" si="13"/>
        <v>1233.0999999999999</v>
      </c>
      <c r="M61" s="4">
        <v>58</v>
      </c>
      <c r="N61" s="5">
        <f t="shared" si="3"/>
        <v>222.1</v>
      </c>
    </row>
    <row r="62" spans="1:14" ht="16.5">
      <c r="A62" s="86">
        <f t="shared" si="9"/>
        <v>59</v>
      </c>
      <c r="B62" s="80">
        <f t="shared" si="10"/>
        <v>776.4</v>
      </c>
      <c r="C62" s="249"/>
      <c r="D62" s="86">
        <f t="shared" si="0"/>
        <v>59</v>
      </c>
      <c r="E62" s="80">
        <f t="shared" si="11"/>
        <v>776.4</v>
      </c>
      <c r="G62" s="86">
        <f t="shared" si="1"/>
        <v>59</v>
      </c>
      <c r="H62" s="80">
        <f t="shared" si="12"/>
        <v>1139.0999999999999</v>
      </c>
      <c r="I62" s="28"/>
      <c r="J62" s="86">
        <f t="shared" si="2"/>
        <v>59</v>
      </c>
      <c r="K62" s="80">
        <f t="shared" si="13"/>
        <v>1251.8</v>
      </c>
      <c r="M62" s="4">
        <v>59</v>
      </c>
      <c r="N62" s="5">
        <f t="shared" si="3"/>
        <v>225.1</v>
      </c>
    </row>
    <row r="63" spans="1:14" ht="16.5">
      <c r="A63" s="86">
        <f t="shared" si="9"/>
        <v>60</v>
      </c>
      <c r="B63" s="80">
        <f t="shared" si="10"/>
        <v>788</v>
      </c>
      <c r="C63" s="249"/>
      <c r="D63" s="86">
        <f t="shared" si="0"/>
        <v>60</v>
      </c>
      <c r="E63" s="80">
        <f t="shared" si="11"/>
        <v>788</v>
      </c>
      <c r="G63" s="86">
        <f t="shared" si="1"/>
        <v>60</v>
      </c>
      <c r="H63" s="80">
        <f t="shared" si="12"/>
        <v>1156.0999999999999</v>
      </c>
      <c r="I63" s="28"/>
      <c r="J63" s="86">
        <f t="shared" si="2"/>
        <v>60</v>
      </c>
      <c r="K63" s="80">
        <f t="shared" si="13"/>
        <v>1270.5</v>
      </c>
      <c r="M63" s="4">
        <v>60</v>
      </c>
      <c r="N63" s="5">
        <f t="shared" si="3"/>
        <v>228.1</v>
      </c>
    </row>
    <row r="64" spans="1:14" ht="16.5">
      <c r="A64" s="86">
        <f t="shared" si="9"/>
        <v>61</v>
      </c>
      <c r="B64" s="80">
        <f t="shared" si="10"/>
        <v>799.59999999999991</v>
      </c>
      <c r="C64" s="249"/>
      <c r="D64" s="86">
        <f t="shared" si="0"/>
        <v>61</v>
      </c>
      <c r="E64" s="80">
        <f t="shared" si="11"/>
        <v>799.59999999999991</v>
      </c>
      <c r="G64" s="86">
        <f t="shared" si="1"/>
        <v>61</v>
      </c>
      <c r="H64" s="80">
        <f t="shared" si="12"/>
        <v>1173.0999999999999</v>
      </c>
      <c r="I64" s="28"/>
      <c r="J64" s="86">
        <f t="shared" si="2"/>
        <v>61</v>
      </c>
      <c r="K64" s="80">
        <f t="shared" si="13"/>
        <v>1289.1999999999998</v>
      </c>
      <c r="M64" s="4">
        <v>61</v>
      </c>
      <c r="N64" s="5">
        <f t="shared" si="3"/>
        <v>231.1</v>
      </c>
    </row>
    <row r="65" spans="1:14" ht="16.5">
      <c r="A65" s="86">
        <f t="shared" si="9"/>
        <v>62</v>
      </c>
      <c r="B65" s="80">
        <f t="shared" si="10"/>
        <v>811.2</v>
      </c>
      <c r="C65" s="249"/>
      <c r="D65" s="86">
        <f t="shared" si="0"/>
        <v>62</v>
      </c>
      <c r="E65" s="80">
        <f t="shared" si="11"/>
        <v>811.2</v>
      </c>
      <c r="G65" s="86">
        <f t="shared" si="1"/>
        <v>62</v>
      </c>
      <c r="H65" s="80">
        <f t="shared" si="12"/>
        <v>1190.0999999999999</v>
      </c>
      <c r="I65" s="28"/>
      <c r="J65" s="86">
        <f t="shared" si="2"/>
        <v>62</v>
      </c>
      <c r="K65" s="80">
        <f t="shared" si="13"/>
        <v>1307.9000000000001</v>
      </c>
      <c r="M65" s="4">
        <v>62</v>
      </c>
      <c r="N65" s="5">
        <f t="shared" si="3"/>
        <v>234.1</v>
      </c>
    </row>
    <row r="66" spans="1:14" ht="16.5">
      <c r="A66" s="86">
        <f t="shared" si="9"/>
        <v>63</v>
      </c>
      <c r="B66" s="80">
        <f t="shared" si="10"/>
        <v>822.8</v>
      </c>
      <c r="C66" s="249"/>
      <c r="D66" s="86">
        <f t="shared" si="0"/>
        <v>63</v>
      </c>
      <c r="E66" s="80">
        <f t="shared" si="11"/>
        <v>822.8</v>
      </c>
      <c r="G66" s="86">
        <f t="shared" si="1"/>
        <v>63</v>
      </c>
      <c r="H66" s="80">
        <f t="shared" si="12"/>
        <v>1207.0999999999999</v>
      </c>
      <c r="I66" s="28"/>
      <c r="J66" s="86">
        <f t="shared" si="2"/>
        <v>63</v>
      </c>
      <c r="K66" s="80">
        <f t="shared" si="13"/>
        <v>1326.6</v>
      </c>
      <c r="M66" s="4">
        <v>63</v>
      </c>
      <c r="N66" s="5">
        <f t="shared" si="3"/>
        <v>237.1</v>
      </c>
    </row>
    <row r="67" spans="1:14" ht="16.5">
      <c r="A67" s="86">
        <f t="shared" si="9"/>
        <v>64</v>
      </c>
      <c r="B67" s="80">
        <f t="shared" si="10"/>
        <v>834.4</v>
      </c>
      <c r="C67" s="249"/>
      <c r="D67" s="86">
        <f t="shared" si="0"/>
        <v>64</v>
      </c>
      <c r="E67" s="80">
        <f t="shared" si="11"/>
        <v>834.4</v>
      </c>
      <c r="G67" s="86">
        <f t="shared" si="1"/>
        <v>64</v>
      </c>
      <c r="H67" s="80">
        <f t="shared" si="12"/>
        <v>1224.0999999999999</v>
      </c>
      <c r="I67" s="28"/>
      <c r="J67" s="86">
        <f t="shared" si="2"/>
        <v>64</v>
      </c>
      <c r="K67" s="80">
        <f t="shared" si="13"/>
        <v>1345.3</v>
      </c>
      <c r="M67" s="4">
        <v>64</v>
      </c>
      <c r="N67" s="5">
        <f t="shared" si="3"/>
        <v>240.1</v>
      </c>
    </row>
    <row r="68" spans="1:14" ht="16.5">
      <c r="A68" s="86">
        <f t="shared" si="9"/>
        <v>65</v>
      </c>
      <c r="B68" s="80">
        <f t="shared" si="10"/>
        <v>846</v>
      </c>
      <c r="C68" s="249"/>
      <c r="D68" s="86">
        <f t="shared" si="0"/>
        <v>65</v>
      </c>
      <c r="E68" s="80">
        <f t="shared" si="11"/>
        <v>846</v>
      </c>
      <c r="G68" s="86">
        <f t="shared" si="1"/>
        <v>65</v>
      </c>
      <c r="H68" s="80">
        <f t="shared" si="12"/>
        <v>1241.0999999999999</v>
      </c>
      <c r="I68" s="28"/>
      <c r="J68" s="86">
        <f t="shared" si="2"/>
        <v>65</v>
      </c>
      <c r="K68" s="80">
        <f t="shared" si="13"/>
        <v>1364</v>
      </c>
      <c r="M68" s="4">
        <v>65</v>
      </c>
      <c r="N68" s="5">
        <f t="shared" si="3"/>
        <v>243.1</v>
      </c>
    </row>
    <row r="69" spans="1:14" ht="16.5">
      <c r="A69" s="86">
        <f t="shared" si="9"/>
        <v>66</v>
      </c>
      <c r="B69" s="80">
        <f t="shared" si="10"/>
        <v>857.59999999999991</v>
      </c>
      <c r="C69" s="249"/>
      <c r="D69" s="86">
        <f t="shared" ref="D69:D132" si="14">D68+1</f>
        <v>66</v>
      </c>
      <c r="E69" s="80">
        <f t="shared" si="11"/>
        <v>857.59999999999991</v>
      </c>
      <c r="G69" s="86">
        <f t="shared" si="1"/>
        <v>66</v>
      </c>
      <c r="H69" s="80">
        <f t="shared" si="12"/>
        <v>1258.0999999999999</v>
      </c>
      <c r="I69" s="28"/>
      <c r="J69" s="86">
        <f t="shared" si="2"/>
        <v>66</v>
      </c>
      <c r="K69" s="80">
        <f t="shared" si="13"/>
        <v>1382.6999999999998</v>
      </c>
      <c r="M69" s="4">
        <v>66</v>
      </c>
      <c r="N69" s="5">
        <f t="shared" si="3"/>
        <v>246.1</v>
      </c>
    </row>
    <row r="70" spans="1:14" ht="16.5">
      <c r="A70" s="86">
        <f t="shared" si="9"/>
        <v>67</v>
      </c>
      <c r="B70" s="80">
        <f t="shared" si="10"/>
        <v>869.2</v>
      </c>
      <c r="C70" s="249"/>
      <c r="D70" s="86">
        <f t="shared" si="14"/>
        <v>67</v>
      </c>
      <c r="E70" s="80">
        <f t="shared" si="11"/>
        <v>869.2</v>
      </c>
      <c r="G70" s="86">
        <f t="shared" ref="G70:G133" si="15">G69+1</f>
        <v>67</v>
      </c>
      <c r="H70" s="80">
        <f t="shared" si="12"/>
        <v>1275.0999999999999</v>
      </c>
      <c r="I70" s="28"/>
      <c r="J70" s="86">
        <f t="shared" ref="J70:J133" si="16">J69+1</f>
        <v>67</v>
      </c>
      <c r="K70" s="80">
        <f t="shared" si="13"/>
        <v>1401.4</v>
      </c>
      <c r="M70" s="4">
        <v>67</v>
      </c>
      <c r="N70" s="5">
        <f t="shared" si="3"/>
        <v>249.1</v>
      </c>
    </row>
    <row r="71" spans="1:14" ht="16.5">
      <c r="A71" s="86">
        <f t="shared" si="9"/>
        <v>68</v>
      </c>
      <c r="B71" s="80">
        <f t="shared" si="10"/>
        <v>880.8</v>
      </c>
      <c r="C71" s="249"/>
      <c r="D71" s="86">
        <f t="shared" si="14"/>
        <v>68</v>
      </c>
      <c r="E71" s="80">
        <f t="shared" si="11"/>
        <v>880.8</v>
      </c>
      <c r="G71" s="86">
        <f t="shared" si="15"/>
        <v>68</v>
      </c>
      <c r="H71" s="80">
        <f t="shared" si="12"/>
        <v>1292.0999999999999</v>
      </c>
      <c r="I71" s="28"/>
      <c r="J71" s="86">
        <f t="shared" si="16"/>
        <v>68</v>
      </c>
      <c r="K71" s="80">
        <f t="shared" si="13"/>
        <v>1420.1</v>
      </c>
      <c r="M71" s="4">
        <v>68</v>
      </c>
      <c r="N71" s="5">
        <f t="shared" si="3"/>
        <v>252.1</v>
      </c>
    </row>
    <row r="72" spans="1:14" ht="16.5">
      <c r="A72" s="86">
        <f t="shared" si="9"/>
        <v>69</v>
      </c>
      <c r="B72" s="80">
        <f t="shared" si="10"/>
        <v>892.4</v>
      </c>
      <c r="C72" s="249"/>
      <c r="D72" s="86">
        <f t="shared" si="14"/>
        <v>69</v>
      </c>
      <c r="E72" s="80">
        <f t="shared" si="11"/>
        <v>892.4</v>
      </c>
      <c r="G72" s="86">
        <f t="shared" si="15"/>
        <v>69</v>
      </c>
      <c r="H72" s="80">
        <f t="shared" si="12"/>
        <v>1309.0999999999999</v>
      </c>
      <c r="I72" s="28"/>
      <c r="J72" s="86">
        <f t="shared" si="16"/>
        <v>69</v>
      </c>
      <c r="K72" s="80">
        <f t="shared" si="13"/>
        <v>1438.8</v>
      </c>
      <c r="M72" s="4">
        <v>69</v>
      </c>
      <c r="N72" s="5">
        <f t="shared" si="3"/>
        <v>255.1</v>
      </c>
    </row>
    <row r="73" spans="1:14" ht="16.5">
      <c r="A73" s="86">
        <f t="shared" si="9"/>
        <v>70</v>
      </c>
      <c r="B73" s="80">
        <f t="shared" si="10"/>
        <v>904</v>
      </c>
      <c r="C73" s="249"/>
      <c r="D73" s="86">
        <f t="shared" si="14"/>
        <v>70</v>
      </c>
      <c r="E73" s="80">
        <f t="shared" si="11"/>
        <v>904</v>
      </c>
      <c r="G73" s="86">
        <f t="shared" si="15"/>
        <v>70</v>
      </c>
      <c r="H73" s="80">
        <f t="shared" si="12"/>
        <v>1326.1</v>
      </c>
      <c r="I73" s="28"/>
      <c r="J73" s="86">
        <f t="shared" si="16"/>
        <v>70</v>
      </c>
      <c r="K73" s="80">
        <f t="shared" si="13"/>
        <v>1457.5</v>
      </c>
      <c r="M73" s="4">
        <v>70</v>
      </c>
      <c r="N73" s="5">
        <f t="shared" ref="N73:N136" si="17">N72+3</f>
        <v>258.10000000000002</v>
      </c>
    </row>
    <row r="74" spans="1:14" ht="16.5">
      <c r="A74" s="86">
        <f t="shared" si="9"/>
        <v>71</v>
      </c>
      <c r="B74" s="80">
        <f t="shared" si="10"/>
        <v>915.59999999999991</v>
      </c>
      <c r="C74" s="249"/>
      <c r="D74" s="86">
        <f t="shared" si="14"/>
        <v>71</v>
      </c>
      <c r="E74" s="80">
        <f t="shared" si="11"/>
        <v>915.59999999999991</v>
      </c>
      <c r="G74" s="86">
        <f t="shared" si="15"/>
        <v>71</v>
      </c>
      <c r="H74" s="80">
        <f t="shared" si="12"/>
        <v>1343.1</v>
      </c>
      <c r="I74" s="28"/>
      <c r="J74" s="86">
        <f t="shared" si="16"/>
        <v>71</v>
      </c>
      <c r="K74" s="80">
        <f t="shared" si="13"/>
        <v>1476.1999999999998</v>
      </c>
      <c r="M74" s="4">
        <v>71</v>
      </c>
      <c r="N74" s="5">
        <f t="shared" si="17"/>
        <v>261.10000000000002</v>
      </c>
    </row>
    <row r="75" spans="1:14" ht="16.5">
      <c r="A75" s="86">
        <f t="shared" si="9"/>
        <v>72</v>
      </c>
      <c r="B75" s="80">
        <f t="shared" si="10"/>
        <v>927.2</v>
      </c>
      <c r="C75" s="249"/>
      <c r="D75" s="86">
        <f t="shared" si="14"/>
        <v>72</v>
      </c>
      <c r="E75" s="80">
        <f t="shared" si="11"/>
        <v>927.2</v>
      </c>
      <c r="G75" s="86">
        <f t="shared" si="15"/>
        <v>72</v>
      </c>
      <c r="H75" s="80">
        <f t="shared" si="12"/>
        <v>1360.1</v>
      </c>
      <c r="I75" s="28"/>
      <c r="J75" s="86">
        <f t="shared" si="16"/>
        <v>72</v>
      </c>
      <c r="K75" s="80">
        <f t="shared" si="13"/>
        <v>1494.9</v>
      </c>
      <c r="M75" s="4">
        <v>72</v>
      </c>
      <c r="N75" s="5">
        <f t="shared" si="17"/>
        <v>264.10000000000002</v>
      </c>
    </row>
    <row r="76" spans="1:14" ht="16.5">
      <c r="A76" s="86">
        <f t="shared" si="9"/>
        <v>73</v>
      </c>
      <c r="B76" s="80">
        <f t="shared" si="10"/>
        <v>938.8</v>
      </c>
      <c r="C76" s="249"/>
      <c r="D76" s="86">
        <f t="shared" si="14"/>
        <v>73</v>
      </c>
      <c r="E76" s="80">
        <f t="shared" si="11"/>
        <v>938.8</v>
      </c>
      <c r="G76" s="86">
        <f t="shared" si="15"/>
        <v>73</v>
      </c>
      <c r="H76" s="80">
        <f t="shared" si="12"/>
        <v>1377.1</v>
      </c>
      <c r="I76" s="28"/>
      <c r="J76" s="86">
        <f t="shared" si="16"/>
        <v>73</v>
      </c>
      <c r="K76" s="80">
        <f t="shared" si="13"/>
        <v>1513.6</v>
      </c>
      <c r="M76" s="4">
        <v>73</v>
      </c>
      <c r="N76" s="5">
        <f t="shared" si="17"/>
        <v>267.10000000000002</v>
      </c>
    </row>
    <row r="77" spans="1:14" ht="16.5">
      <c r="A77" s="86">
        <f t="shared" si="9"/>
        <v>74</v>
      </c>
      <c r="B77" s="80">
        <f t="shared" si="10"/>
        <v>950.4</v>
      </c>
      <c r="C77" s="249"/>
      <c r="D77" s="86">
        <f t="shared" si="14"/>
        <v>74</v>
      </c>
      <c r="E77" s="80">
        <f t="shared" si="11"/>
        <v>950.4</v>
      </c>
      <c r="G77" s="86">
        <f t="shared" si="15"/>
        <v>74</v>
      </c>
      <c r="H77" s="80">
        <f t="shared" si="12"/>
        <v>1394.1</v>
      </c>
      <c r="I77" s="28"/>
      <c r="J77" s="86">
        <f t="shared" si="16"/>
        <v>74</v>
      </c>
      <c r="K77" s="80">
        <f t="shared" si="13"/>
        <v>1532.3</v>
      </c>
      <c r="M77" s="4">
        <v>74</v>
      </c>
      <c r="N77" s="5">
        <f t="shared" si="17"/>
        <v>270.10000000000002</v>
      </c>
    </row>
    <row r="78" spans="1:14" ht="16.5">
      <c r="A78" s="86">
        <f t="shared" si="9"/>
        <v>75</v>
      </c>
      <c r="B78" s="80">
        <f t="shared" si="10"/>
        <v>962</v>
      </c>
      <c r="C78" s="249"/>
      <c r="D78" s="86">
        <f t="shared" si="14"/>
        <v>75</v>
      </c>
      <c r="E78" s="80">
        <f t="shared" si="11"/>
        <v>962</v>
      </c>
      <c r="G78" s="86">
        <f t="shared" si="15"/>
        <v>75</v>
      </c>
      <c r="H78" s="80">
        <f t="shared" si="12"/>
        <v>1411.1</v>
      </c>
      <c r="I78" s="28"/>
      <c r="J78" s="86">
        <f t="shared" si="16"/>
        <v>75</v>
      </c>
      <c r="K78" s="80">
        <f t="shared" si="13"/>
        <v>1551</v>
      </c>
      <c r="M78" s="4">
        <v>75</v>
      </c>
      <c r="N78" s="5">
        <f t="shared" si="17"/>
        <v>273.10000000000002</v>
      </c>
    </row>
    <row r="79" spans="1:14" ht="16.5">
      <c r="A79" s="86">
        <f t="shared" si="9"/>
        <v>76</v>
      </c>
      <c r="B79" s="80">
        <f t="shared" si="10"/>
        <v>973.6</v>
      </c>
      <c r="C79" s="249"/>
      <c r="D79" s="86">
        <f t="shared" si="14"/>
        <v>76</v>
      </c>
      <c r="E79" s="80">
        <f t="shared" si="11"/>
        <v>973.6</v>
      </c>
      <c r="G79" s="86">
        <f t="shared" si="15"/>
        <v>76</v>
      </c>
      <c r="H79" s="80">
        <f t="shared" si="12"/>
        <v>1428.1</v>
      </c>
      <c r="I79" s="28"/>
      <c r="J79" s="86">
        <f t="shared" si="16"/>
        <v>76</v>
      </c>
      <c r="K79" s="80">
        <f t="shared" si="13"/>
        <v>1569.6999999999998</v>
      </c>
      <c r="M79" s="4">
        <v>76</v>
      </c>
      <c r="N79" s="5">
        <f t="shared" si="17"/>
        <v>276.10000000000002</v>
      </c>
    </row>
    <row r="80" spans="1:14" ht="16.5">
      <c r="A80" s="86">
        <f t="shared" si="9"/>
        <v>77</v>
      </c>
      <c r="B80" s="80">
        <f t="shared" si="10"/>
        <v>985.19999999999993</v>
      </c>
      <c r="C80" s="249"/>
      <c r="D80" s="86">
        <f t="shared" si="14"/>
        <v>77</v>
      </c>
      <c r="E80" s="80">
        <f t="shared" si="11"/>
        <v>985.19999999999993</v>
      </c>
      <c r="G80" s="86">
        <f t="shared" si="15"/>
        <v>77</v>
      </c>
      <c r="H80" s="80">
        <f t="shared" si="12"/>
        <v>1445.1</v>
      </c>
      <c r="I80" s="28"/>
      <c r="J80" s="86">
        <f t="shared" si="16"/>
        <v>77</v>
      </c>
      <c r="K80" s="80">
        <f t="shared" si="13"/>
        <v>1588.4</v>
      </c>
      <c r="M80" s="4">
        <v>77</v>
      </c>
      <c r="N80" s="5">
        <f t="shared" si="17"/>
        <v>279.10000000000002</v>
      </c>
    </row>
    <row r="81" spans="1:14" ht="16.5">
      <c r="A81" s="86">
        <f t="shared" si="9"/>
        <v>78</v>
      </c>
      <c r="B81" s="80">
        <f t="shared" si="10"/>
        <v>996.8</v>
      </c>
      <c r="C81" s="249"/>
      <c r="D81" s="86">
        <f t="shared" si="14"/>
        <v>78</v>
      </c>
      <c r="E81" s="80">
        <f t="shared" si="11"/>
        <v>996.8</v>
      </c>
      <c r="G81" s="86">
        <f t="shared" si="15"/>
        <v>78</v>
      </c>
      <c r="H81" s="80">
        <f t="shared" si="12"/>
        <v>1462.1</v>
      </c>
      <c r="I81" s="28"/>
      <c r="J81" s="86">
        <f t="shared" si="16"/>
        <v>78</v>
      </c>
      <c r="K81" s="80">
        <f t="shared" si="13"/>
        <v>1607.1</v>
      </c>
      <c r="M81" s="4">
        <v>78</v>
      </c>
      <c r="N81" s="5">
        <f t="shared" si="17"/>
        <v>282.10000000000002</v>
      </c>
    </row>
    <row r="82" spans="1:14" ht="16.5">
      <c r="A82" s="86">
        <f t="shared" si="9"/>
        <v>79</v>
      </c>
      <c r="B82" s="80">
        <f t="shared" si="10"/>
        <v>1008.4</v>
      </c>
      <c r="C82" s="249"/>
      <c r="D82" s="86">
        <f t="shared" si="14"/>
        <v>79</v>
      </c>
      <c r="E82" s="80">
        <f t="shared" si="11"/>
        <v>1008.4</v>
      </c>
      <c r="G82" s="86">
        <f t="shared" si="15"/>
        <v>79</v>
      </c>
      <c r="H82" s="80">
        <f t="shared" si="12"/>
        <v>1479.1</v>
      </c>
      <c r="I82" s="28"/>
      <c r="J82" s="86">
        <f t="shared" si="16"/>
        <v>79</v>
      </c>
      <c r="K82" s="80">
        <f t="shared" si="13"/>
        <v>1625.8</v>
      </c>
      <c r="M82" s="4">
        <v>79</v>
      </c>
      <c r="N82" s="5">
        <f t="shared" si="17"/>
        <v>285.10000000000002</v>
      </c>
    </row>
    <row r="83" spans="1:14" ht="16.5">
      <c r="A83" s="86">
        <f t="shared" si="9"/>
        <v>80</v>
      </c>
      <c r="B83" s="80">
        <f t="shared" si="10"/>
        <v>1020</v>
      </c>
      <c r="C83" s="249"/>
      <c r="D83" s="86">
        <f t="shared" si="14"/>
        <v>80</v>
      </c>
      <c r="E83" s="80">
        <f t="shared" si="11"/>
        <v>1020</v>
      </c>
      <c r="G83" s="86">
        <f t="shared" si="15"/>
        <v>80</v>
      </c>
      <c r="H83" s="80">
        <f t="shared" si="12"/>
        <v>1496.1</v>
      </c>
      <c r="I83" s="28"/>
      <c r="J83" s="86">
        <f t="shared" si="16"/>
        <v>80</v>
      </c>
      <c r="K83" s="80">
        <f t="shared" si="13"/>
        <v>1644.5</v>
      </c>
      <c r="M83" s="4">
        <v>80</v>
      </c>
      <c r="N83" s="5">
        <f t="shared" si="17"/>
        <v>288.10000000000002</v>
      </c>
    </row>
    <row r="84" spans="1:14" ht="16.5">
      <c r="A84" s="86">
        <f t="shared" si="9"/>
        <v>81</v>
      </c>
      <c r="B84" s="80">
        <f t="shared" si="10"/>
        <v>1031.5999999999999</v>
      </c>
      <c r="C84" s="249"/>
      <c r="D84" s="86">
        <f t="shared" si="14"/>
        <v>81</v>
      </c>
      <c r="E84" s="80">
        <f t="shared" si="11"/>
        <v>1031.5999999999999</v>
      </c>
      <c r="G84" s="86">
        <f t="shared" si="15"/>
        <v>81</v>
      </c>
      <c r="H84" s="80">
        <f t="shared" si="12"/>
        <v>1513.1</v>
      </c>
      <c r="I84" s="28"/>
      <c r="J84" s="86">
        <f t="shared" si="16"/>
        <v>81</v>
      </c>
      <c r="K84" s="80">
        <f t="shared" si="13"/>
        <v>1663.1999999999998</v>
      </c>
      <c r="M84" s="4">
        <v>81</v>
      </c>
      <c r="N84" s="5">
        <f t="shared" si="17"/>
        <v>291.10000000000002</v>
      </c>
    </row>
    <row r="85" spans="1:14" ht="16.5">
      <c r="A85" s="86">
        <f t="shared" si="9"/>
        <v>82</v>
      </c>
      <c r="B85" s="80">
        <f t="shared" si="10"/>
        <v>1043.1999999999998</v>
      </c>
      <c r="C85" s="249"/>
      <c r="D85" s="86">
        <f t="shared" si="14"/>
        <v>82</v>
      </c>
      <c r="E85" s="80">
        <f t="shared" si="11"/>
        <v>1043.1999999999998</v>
      </c>
      <c r="G85" s="86">
        <f t="shared" si="15"/>
        <v>82</v>
      </c>
      <c r="H85" s="80">
        <f t="shared" si="12"/>
        <v>1530.1</v>
      </c>
      <c r="I85" s="28"/>
      <c r="J85" s="86">
        <f t="shared" si="16"/>
        <v>82</v>
      </c>
      <c r="K85" s="80">
        <f t="shared" si="13"/>
        <v>1681.9</v>
      </c>
      <c r="M85" s="4">
        <v>82</v>
      </c>
      <c r="N85" s="5">
        <f t="shared" si="17"/>
        <v>294.10000000000002</v>
      </c>
    </row>
    <row r="86" spans="1:14" ht="16.5">
      <c r="A86" s="86">
        <f t="shared" si="9"/>
        <v>83</v>
      </c>
      <c r="B86" s="80">
        <f t="shared" si="10"/>
        <v>1054.8</v>
      </c>
      <c r="C86" s="249"/>
      <c r="D86" s="86">
        <f t="shared" si="14"/>
        <v>83</v>
      </c>
      <c r="E86" s="80">
        <f t="shared" si="11"/>
        <v>1054.8</v>
      </c>
      <c r="G86" s="86">
        <f t="shared" si="15"/>
        <v>83</v>
      </c>
      <c r="H86" s="80">
        <f t="shared" si="12"/>
        <v>1547.1</v>
      </c>
      <c r="I86" s="28"/>
      <c r="J86" s="86">
        <f t="shared" si="16"/>
        <v>83</v>
      </c>
      <c r="K86" s="80">
        <f t="shared" si="13"/>
        <v>1700.6</v>
      </c>
      <c r="M86" s="4">
        <v>83</v>
      </c>
      <c r="N86" s="5">
        <f t="shared" si="17"/>
        <v>297.10000000000002</v>
      </c>
    </row>
    <row r="87" spans="1:14" ht="16.5">
      <c r="A87" s="86">
        <f t="shared" si="9"/>
        <v>84</v>
      </c>
      <c r="B87" s="80">
        <f t="shared" si="10"/>
        <v>1066.4000000000001</v>
      </c>
      <c r="C87" s="249"/>
      <c r="D87" s="86">
        <f t="shared" si="14"/>
        <v>84</v>
      </c>
      <c r="E87" s="80">
        <f t="shared" si="11"/>
        <v>1066.4000000000001</v>
      </c>
      <c r="G87" s="86">
        <f t="shared" si="15"/>
        <v>84</v>
      </c>
      <c r="H87" s="80">
        <f t="shared" si="12"/>
        <v>1564.1</v>
      </c>
      <c r="I87" s="28"/>
      <c r="J87" s="86">
        <f t="shared" si="16"/>
        <v>84</v>
      </c>
      <c r="K87" s="80">
        <f t="shared" si="13"/>
        <v>1719.3</v>
      </c>
      <c r="M87" s="4">
        <v>84</v>
      </c>
      <c r="N87" s="5">
        <f t="shared" si="17"/>
        <v>300.10000000000002</v>
      </c>
    </row>
    <row r="88" spans="1:14" ht="16.5">
      <c r="A88" s="86">
        <f t="shared" si="9"/>
        <v>85</v>
      </c>
      <c r="B88" s="80">
        <f t="shared" si="10"/>
        <v>1078</v>
      </c>
      <c r="C88" s="249"/>
      <c r="D88" s="86">
        <f t="shared" si="14"/>
        <v>85</v>
      </c>
      <c r="E88" s="80">
        <f t="shared" si="11"/>
        <v>1078</v>
      </c>
      <c r="G88" s="86">
        <f t="shared" si="15"/>
        <v>85</v>
      </c>
      <c r="H88" s="80">
        <f t="shared" si="12"/>
        <v>1581.1</v>
      </c>
      <c r="I88" s="28"/>
      <c r="J88" s="86">
        <f t="shared" si="16"/>
        <v>85</v>
      </c>
      <c r="K88" s="80">
        <f t="shared" si="13"/>
        <v>1738</v>
      </c>
      <c r="M88" s="4">
        <v>85</v>
      </c>
      <c r="N88" s="5">
        <f t="shared" si="17"/>
        <v>303.10000000000002</v>
      </c>
    </row>
    <row r="89" spans="1:14" ht="16.5">
      <c r="A89" s="86">
        <f t="shared" si="9"/>
        <v>86</v>
      </c>
      <c r="B89" s="80">
        <f t="shared" si="10"/>
        <v>1089.5999999999999</v>
      </c>
      <c r="C89" s="249"/>
      <c r="D89" s="86">
        <f t="shared" si="14"/>
        <v>86</v>
      </c>
      <c r="E89" s="80">
        <f t="shared" si="11"/>
        <v>1089.5999999999999</v>
      </c>
      <c r="G89" s="86">
        <f t="shared" si="15"/>
        <v>86</v>
      </c>
      <c r="H89" s="80">
        <f t="shared" si="12"/>
        <v>1598.1</v>
      </c>
      <c r="I89" s="28"/>
      <c r="J89" s="86">
        <f t="shared" si="16"/>
        <v>86</v>
      </c>
      <c r="K89" s="80">
        <f t="shared" si="13"/>
        <v>1756.7</v>
      </c>
      <c r="M89" s="4">
        <v>86</v>
      </c>
      <c r="N89" s="5">
        <f t="shared" si="17"/>
        <v>306.10000000000002</v>
      </c>
    </row>
    <row r="90" spans="1:14" ht="16.5">
      <c r="A90" s="86">
        <f t="shared" si="9"/>
        <v>87</v>
      </c>
      <c r="B90" s="80">
        <f t="shared" si="10"/>
        <v>1101.1999999999998</v>
      </c>
      <c r="C90" s="249"/>
      <c r="D90" s="86">
        <f t="shared" si="14"/>
        <v>87</v>
      </c>
      <c r="E90" s="80">
        <f t="shared" si="11"/>
        <v>1101.1999999999998</v>
      </c>
      <c r="G90" s="86">
        <f t="shared" si="15"/>
        <v>87</v>
      </c>
      <c r="H90" s="80">
        <f t="shared" si="12"/>
        <v>1615.1</v>
      </c>
      <c r="I90" s="28"/>
      <c r="J90" s="86">
        <f t="shared" si="16"/>
        <v>87</v>
      </c>
      <c r="K90" s="80">
        <f t="shared" si="13"/>
        <v>1775.3999999999999</v>
      </c>
      <c r="M90" s="4">
        <v>87</v>
      </c>
      <c r="N90" s="5">
        <f t="shared" si="17"/>
        <v>309.10000000000002</v>
      </c>
    </row>
    <row r="91" spans="1:14" ht="16.5">
      <c r="A91" s="86">
        <f t="shared" si="9"/>
        <v>88</v>
      </c>
      <c r="B91" s="80">
        <f t="shared" si="10"/>
        <v>1112.8</v>
      </c>
      <c r="C91" s="249"/>
      <c r="D91" s="86">
        <f t="shared" si="14"/>
        <v>88</v>
      </c>
      <c r="E91" s="80">
        <f t="shared" si="11"/>
        <v>1112.8</v>
      </c>
      <c r="G91" s="86">
        <f t="shared" si="15"/>
        <v>88</v>
      </c>
      <c r="H91" s="80">
        <f t="shared" si="12"/>
        <v>1632.1</v>
      </c>
      <c r="I91" s="28"/>
      <c r="J91" s="86">
        <f t="shared" si="16"/>
        <v>88</v>
      </c>
      <c r="K91" s="80">
        <f t="shared" si="13"/>
        <v>1794.1</v>
      </c>
      <c r="M91" s="4">
        <v>88</v>
      </c>
      <c r="N91" s="5">
        <f t="shared" si="17"/>
        <v>312.10000000000002</v>
      </c>
    </row>
    <row r="92" spans="1:14" ht="16.5">
      <c r="A92" s="86">
        <f t="shared" si="9"/>
        <v>89</v>
      </c>
      <c r="B92" s="80">
        <f t="shared" si="10"/>
        <v>1124.4000000000001</v>
      </c>
      <c r="C92" s="249"/>
      <c r="D92" s="86">
        <f t="shared" si="14"/>
        <v>89</v>
      </c>
      <c r="E92" s="80">
        <f t="shared" si="11"/>
        <v>1124.4000000000001</v>
      </c>
      <c r="G92" s="86">
        <f t="shared" si="15"/>
        <v>89</v>
      </c>
      <c r="H92" s="80">
        <f t="shared" si="12"/>
        <v>1649.1</v>
      </c>
      <c r="I92" s="28"/>
      <c r="J92" s="86">
        <f t="shared" si="16"/>
        <v>89</v>
      </c>
      <c r="K92" s="80">
        <f t="shared" si="13"/>
        <v>1812.8</v>
      </c>
      <c r="M92" s="4">
        <v>89</v>
      </c>
      <c r="N92" s="5">
        <f t="shared" si="17"/>
        <v>315.10000000000002</v>
      </c>
    </row>
    <row r="93" spans="1:14" ht="16.5">
      <c r="A93" s="86">
        <f t="shared" si="9"/>
        <v>90</v>
      </c>
      <c r="B93" s="80">
        <f t="shared" si="10"/>
        <v>1136</v>
      </c>
      <c r="C93" s="249"/>
      <c r="D93" s="86">
        <f t="shared" si="14"/>
        <v>90</v>
      </c>
      <c r="E93" s="80">
        <f t="shared" si="11"/>
        <v>1136</v>
      </c>
      <c r="G93" s="86">
        <f t="shared" si="15"/>
        <v>90</v>
      </c>
      <c r="H93" s="80">
        <f t="shared" si="12"/>
        <v>1666.1</v>
      </c>
      <c r="I93" s="28"/>
      <c r="J93" s="86">
        <f t="shared" si="16"/>
        <v>90</v>
      </c>
      <c r="K93" s="80">
        <f t="shared" si="13"/>
        <v>1831.5</v>
      </c>
      <c r="M93" s="4">
        <v>90</v>
      </c>
      <c r="N93" s="5">
        <f t="shared" si="17"/>
        <v>318.10000000000002</v>
      </c>
    </row>
    <row r="94" spans="1:14" ht="16.5">
      <c r="A94" s="86">
        <f t="shared" si="9"/>
        <v>91</v>
      </c>
      <c r="B94" s="80">
        <f t="shared" si="10"/>
        <v>1147.5999999999999</v>
      </c>
      <c r="C94" s="249"/>
      <c r="D94" s="86">
        <f t="shared" si="14"/>
        <v>91</v>
      </c>
      <c r="E94" s="80">
        <f t="shared" si="11"/>
        <v>1147.5999999999999</v>
      </c>
      <c r="G94" s="86">
        <f t="shared" si="15"/>
        <v>91</v>
      </c>
      <c r="H94" s="80">
        <f t="shared" si="12"/>
        <v>1683.1</v>
      </c>
      <c r="I94" s="28"/>
      <c r="J94" s="86">
        <f t="shared" si="16"/>
        <v>91</v>
      </c>
      <c r="K94" s="80">
        <f t="shared" si="13"/>
        <v>1850.2</v>
      </c>
      <c r="M94" s="4">
        <v>91</v>
      </c>
      <c r="N94" s="5">
        <f t="shared" si="17"/>
        <v>321.10000000000002</v>
      </c>
    </row>
    <row r="95" spans="1:14" ht="16.5">
      <c r="A95" s="86">
        <f t="shared" si="9"/>
        <v>92</v>
      </c>
      <c r="B95" s="80">
        <f t="shared" si="10"/>
        <v>1159.1999999999998</v>
      </c>
      <c r="C95" s="249"/>
      <c r="D95" s="86">
        <f t="shared" si="14"/>
        <v>92</v>
      </c>
      <c r="E95" s="80">
        <f t="shared" si="11"/>
        <v>1159.1999999999998</v>
      </c>
      <c r="G95" s="86">
        <f t="shared" si="15"/>
        <v>92</v>
      </c>
      <c r="H95" s="80">
        <f t="shared" si="12"/>
        <v>1700.1</v>
      </c>
      <c r="I95" s="28"/>
      <c r="J95" s="86">
        <f t="shared" si="16"/>
        <v>92</v>
      </c>
      <c r="K95" s="80">
        <f t="shared" si="13"/>
        <v>1868.8999999999999</v>
      </c>
      <c r="M95" s="4">
        <v>92</v>
      </c>
      <c r="N95" s="5">
        <f t="shared" si="17"/>
        <v>324.10000000000002</v>
      </c>
    </row>
    <row r="96" spans="1:14" ht="16.5">
      <c r="A96" s="86">
        <f t="shared" si="9"/>
        <v>93</v>
      </c>
      <c r="B96" s="80">
        <f t="shared" si="10"/>
        <v>1170.8</v>
      </c>
      <c r="C96" s="249"/>
      <c r="D96" s="86">
        <f t="shared" si="14"/>
        <v>93</v>
      </c>
      <c r="E96" s="80">
        <f t="shared" si="11"/>
        <v>1170.8</v>
      </c>
      <c r="G96" s="86">
        <f t="shared" si="15"/>
        <v>93</v>
      </c>
      <c r="H96" s="80">
        <f t="shared" si="12"/>
        <v>1717.1</v>
      </c>
      <c r="I96" s="28"/>
      <c r="J96" s="86">
        <f t="shared" si="16"/>
        <v>93</v>
      </c>
      <c r="K96" s="80">
        <f t="shared" si="13"/>
        <v>1887.6</v>
      </c>
      <c r="M96" s="4">
        <v>93</v>
      </c>
      <c r="N96" s="5">
        <f t="shared" si="17"/>
        <v>327.10000000000002</v>
      </c>
    </row>
    <row r="97" spans="1:14" ht="16.5">
      <c r="A97" s="86">
        <f t="shared" si="9"/>
        <v>94</v>
      </c>
      <c r="B97" s="80">
        <f t="shared" si="10"/>
        <v>1182.4000000000001</v>
      </c>
      <c r="C97" s="249"/>
      <c r="D97" s="86">
        <f t="shared" si="14"/>
        <v>94</v>
      </c>
      <c r="E97" s="80">
        <f t="shared" si="11"/>
        <v>1182.4000000000001</v>
      </c>
      <c r="G97" s="86">
        <f t="shared" si="15"/>
        <v>94</v>
      </c>
      <c r="H97" s="80">
        <f t="shared" si="12"/>
        <v>1734.1</v>
      </c>
      <c r="I97" s="28"/>
      <c r="J97" s="86">
        <f t="shared" si="16"/>
        <v>94</v>
      </c>
      <c r="K97" s="80">
        <f t="shared" si="13"/>
        <v>1906.3</v>
      </c>
      <c r="M97" s="4">
        <v>94</v>
      </c>
      <c r="N97" s="5">
        <f t="shared" si="17"/>
        <v>330.1</v>
      </c>
    </row>
    <row r="98" spans="1:14" ht="16.5">
      <c r="A98" s="86">
        <f t="shared" si="9"/>
        <v>95</v>
      </c>
      <c r="B98" s="80">
        <f t="shared" si="10"/>
        <v>1194</v>
      </c>
      <c r="C98" s="249"/>
      <c r="D98" s="86">
        <f t="shared" si="14"/>
        <v>95</v>
      </c>
      <c r="E98" s="80">
        <f t="shared" si="11"/>
        <v>1194</v>
      </c>
      <c r="G98" s="86">
        <f t="shared" si="15"/>
        <v>95</v>
      </c>
      <c r="H98" s="80">
        <f t="shared" si="12"/>
        <v>1751.1</v>
      </c>
      <c r="I98" s="28"/>
      <c r="J98" s="86">
        <f t="shared" si="16"/>
        <v>95</v>
      </c>
      <c r="K98" s="80">
        <f t="shared" si="13"/>
        <v>1925</v>
      </c>
      <c r="M98" s="4">
        <v>95</v>
      </c>
      <c r="N98" s="5">
        <f t="shared" si="17"/>
        <v>333.1</v>
      </c>
    </row>
    <row r="99" spans="1:14" ht="16.5">
      <c r="A99" s="86">
        <f t="shared" ref="A99:A162" si="18">A98+1</f>
        <v>96</v>
      </c>
      <c r="B99" s="80">
        <f t="shared" ref="B99:B162" si="19">$B$33+(A99-$A$33)*$Q$11</f>
        <v>1205.5999999999999</v>
      </c>
      <c r="C99" s="249"/>
      <c r="D99" s="86">
        <f t="shared" si="14"/>
        <v>96</v>
      </c>
      <c r="E99" s="80">
        <f t="shared" ref="E99:E162" si="20">$E$33+(A99-$A$33)*$Q$6</f>
        <v>1205.5999999999999</v>
      </c>
      <c r="G99" s="86">
        <f t="shared" si="15"/>
        <v>96</v>
      </c>
      <c r="H99" s="80">
        <f t="shared" ref="H99:H162" si="21">$H$33+(A99-$A$33)*$Q$16</f>
        <v>1768.1</v>
      </c>
      <c r="I99" s="28"/>
      <c r="J99" s="86">
        <f t="shared" si="16"/>
        <v>96</v>
      </c>
      <c r="K99" s="80">
        <f t="shared" ref="K99:K162" si="22">$K$33+(A99-$A$33)*$Q$21</f>
        <v>1943.7</v>
      </c>
      <c r="M99" s="4">
        <v>96</v>
      </c>
      <c r="N99" s="5">
        <f t="shared" si="17"/>
        <v>336.1</v>
      </c>
    </row>
    <row r="100" spans="1:14" ht="16.5">
      <c r="A100" s="86">
        <f t="shared" si="18"/>
        <v>97</v>
      </c>
      <c r="B100" s="80">
        <f t="shared" si="19"/>
        <v>1217.1999999999998</v>
      </c>
      <c r="C100" s="249"/>
      <c r="D100" s="86">
        <f t="shared" si="14"/>
        <v>97</v>
      </c>
      <c r="E100" s="80">
        <f t="shared" si="20"/>
        <v>1217.1999999999998</v>
      </c>
      <c r="G100" s="86">
        <f t="shared" si="15"/>
        <v>97</v>
      </c>
      <c r="H100" s="80">
        <f t="shared" si="21"/>
        <v>1785.1</v>
      </c>
      <c r="I100" s="28"/>
      <c r="J100" s="86">
        <f t="shared" si="16"/>
        <v>97</v>
      </c>
      <c r="K100" s="80">
        <f t="shared" si="22"/>
        <v>1962.3999999999999</v>
      </c>
      <c r="M100" s="4">
        <v>97</v>
      </c>
      <c r="N100" s="5">
        <f t="shared" si="17"/>
        <v>339.1</v>
      </c>
    </row>
    <row r="101" spans="1:14" ht="16.5">
      <c r="A101" s="86">
        <f t="shared" si="18"/>
        <v>98</v>
      </c>
      <c r="B101" s="80">
        <f t="shared" si="19"/>
        <v>1228.8</v>
      </c>
      <c r="C101" s="249"/>
      <c r="D101" s="86">
        <f t="shared" si="14"/>
        <v>98</v>
      </c>
      <c r="E101" s="80">
        <f t="shared" si="20"/>
        <v>1228.8</v>
      </c>
      <c r="G101" s="86">
        <f t="shared" si="15"/>
        <v>98</v>
      </c>
      <c r="H101" s="80">
        <f t="shared" si="21"/>
        <v>1802.1</v>
      </c>
      <c r="I101" s="28"/>
      <c r="J101" s="86">
        <f t="shared" si="16"/>
        <v>98</v>
      </c>
      <c r="K101" s="80">
        <f t="shared" si="22"/>
        <v>1981.1</v>
      </c>
      <c r="M101" s="4">
        <v>98</v>
      </c>
      <c r="N101" s="5">
        <f t="shared" si="17"/>
        <v>342.1</v>
      </c>
    </row>
    <row r="102" spans="1:14" ht="16.5">
      <c r="A102" s="86">
        <f t="shared" si="18"/>
        <v>99</v>
      </c>
      <c r="B102" s="80">
        <f t="shared" si="19"/>
        <v>1240.4000000000001</v>
      </c>
      <c r="C102" s="249"/>
      <c r="D102" s="86">
        <f t="shared" si="14"/>
        <v>99</v>
      </c>
      <c r="E102" s="80">
        <f t="shared" si="20"/>
        <v>1240.4000000000001</v>
      </c>
      <c r="G102" s="86">
        <f t="shared" si="15"/>
        <v>99</v>
      </c>
      <c r="H102" s="80">
        <f t="shared" si="21"/>
        <v>1819.1</v>
      </c>
      <c r="I102" s="28"/>
      <c r="J102" s="86">
        <f t="shared" si="16"/>
        <v>99</v>
      </c>
      <c r="K102" s="80">
        <f t="shared" si="22"/>
        <v>1999.8</v>
      </c>
      <c r="M102" s="4">
        <v>99</v>
      </c>
      <c r="N102" s="5">
        <f t="shared" si="17"/>
        <v>345.1</v>
      </c>
    </row>
    <row r="103" spans="1:14" ht="16.5">
      <c r="A103" s="86">
        <f t="shared" si="18"/>
        <v>100</v>
      </c>
      <c r="B103" s="80">
        <f t="shared" si="19"/>
        <v>1252</v>
      </c>
      <c r="C103" s="249"/>
      <c r="D103" s="86">
        <f t="shared" si="14"/>
        <v>100</v>
      </c>
      <c r="E103" s="80">
        <f t="shared" si="20"/>
        <v>1252</v>
      </c>
      <c r="G103" s="86">
        <f t="shared" si="15"/>
        <v>100</v>
      </c>
      <c r="H103" s="80">
        <f t="shared" si="21"/>
        <v>1836.1</v>
      </c>
      <c r="I103" s="28"/>
      <c r="J103" s="86">
        <f t="shared" si="16"/>
        <v>100</v>
      </c>
      <c r="K103" s="80">
        <f t="shared" si="22"/>
        <v>2018.5</v>
      </c>
      <c r="M103" s="4">
        <v>100</v>
      </c>
      <c r="N103" s="5">
        <f t="shared" si="17"/>
        <v>348.1</v>
      </c>
    </row>
    <row r="104" spans="1:14" ht="16.5">
      <c r="A104" s="86">
        <f t="shared" si="18"/>
        <v>101</v>
      </c>
      <c r="B104" s="80">
        <f t="shared" si="19"/>
        <v>1263.5999999999999</v>
      </c>
      <c r="C104" s="249"/>
      <c r="D104" s="86">
        <f t="shared" si="14"/>
        <v>101</v>
      </c>
      <c r="E104" s="80">
        <f t="shared" si="20"/>
        <v>1263.5999999999999</v>
      </c>
      <c r="G104" s="86">
        <f t="shared" si="15"/>
        <v>101</v>
      </c>
      <c r="H104" s="80">
        <f t="shared" si="21"/>
        <v>1853.1</v>
      </c>
      <c r="I104" s="28"/>
      <c r="J104" s="86">
        <f t="shared" si="16"/>
        <v>101</v>
      </c>
      <c r="K104" s="80">
        <f t="shared" si="22"/>
        <v>2037.2</v>
      </c>
      <c r="M104" s="4">
        <v>101</v>
      </c>
      <c r="N104" s="5">
        <f t="shared" si="17"/>
        <v>351.1</v>
      </c>
    </row>
    <row r="105" spans="1:14" ht="16.5">
      <c r="A105" s="86">
        <f t="shared" si="18"/>
        <v>102</v>
      </c>
      <c r="B105" s="80">
        <f t="shared" si="19"/>
        <v>1275.1999999999998</v>
      </c>
      <c r="C105" s="249"/>
      <c r="D105" s="86">
        <f t="shared" si="14"/>
        <v>102</v>
      </c>
      <c r="E105" s="80">
        <f t="shared" si="20"/>
        <v>1275.1999999999998</v>
      </c>
      <c r="G105" s="86">
        <f t="shared" si="15"/>
        <v>102</v>
      </c>
      <c r="H105" s="80">
        <f t="shared" si="21"/>
        <v>1870.1</v>
      </c>
      <c r="I105" s="28"/>
      <c r="J105" s="86">
        <f t="shared" si="16"/>
        <v>102</v>
      </c>
      <c r="K105" s="80">
        <f t="shared" si="22"/>
        <v>2055.8999999999996</v>
      </c>
      <c r="M105" s="4">
        <v>102</v>
      </c>
      <c r="N105" s="5">
        <f t="shared" si="17"/>
        <v>354.1</v>
      </c>
    </row>
    <row r="106" spans="1:14" ht="16.5">
      <c r="A106" s="86">
        <f t="shared" si="18"/>
        <v>103</v>
      </c>
      <c r="B106" s="80">
        <f t="shared" si="19"/>
        <v>1286.8</v>
      </c>
      <c r="C106" s="249"/>
      <c r="D106" s="86">
        <f t="shared" si="14"/>
        <v>103</v>
      </c>
      <c r="E106" s="80">
        <f t="shared" si="20"/>
        <v>1286.8</v>
      </c>
      <c r="G106" s="86">
        <f t="shared" si="15"/>
        <v>103</v>
      </c>
      <c r="H106" s="80">
        <f t="shared" si="21"/>
        <v>1887.1</v>
      </c>
      <c r="I106" s="28"/>
      <c r="J106" s="86">
        <f t="shared" si="16"/>
        <v>103</v>
      </c>
      <c r="K106" s="80">
        <f t="shared" si="22"/>
        <v>2074.6</v>
      </c>
      <c r="M106" s="4">
        <v>103</v>
      </c>
      <c r="N106" s="5">
        <f t="shared" si="17"/>
        <v>357.1</v>
      </c>
    </row>
    <row r="107" spans="1:14" ht="16.5">
      <c r="A107" s="86">
        <f t="shared" si="18"/>
        <v>104</v>
      </c>
      <c r="B107" s="80">
        <f t="shared" si="19"/>
        <v>1298.4000000000001</v>
      </c>
      <c r="C107" s="249"/>
      <c r="D107" s="86">
        <f t="shared" si="14"/>
        <v>104</v>
      </c>
      <c r="E107" s="80">
        <f t="shared" si="20"/>
        <v>1298.4000000000001</v>
      </c>
      <c r="G107" s="86">
        <f t="shared" si="15"/>
        <v>104</v>
      </c>
      <c r="H107" s="80">
        <f t="shared" si="21"/>
        <v>1904.1</v>
      </c>
      <c r="I107" s="28"/>
      <c r="J107" s="86">
        <f t="shared" si="16"/>
        <v>104</v>
      </c>
      <c r="K107" s="80">
        <f t="shared" si="22"/>
        <v>2093.3000000000002</v>
      </c>
      <c r="M107" s="4">
        <v>104</v>
      </c>
      <c r="N107" s="5">
        <f t="shared" si="17"/>
        <v>360.1</v>
      </c>
    </row>
    <row r="108" spans="1:14" ht="16.5">
      <c r="A108" s="86">
        <f t="shared" si="18"/>
        <v>105</v>
      </c>
      <c r="B108" s="80">
        <f t="shared" si="19"/>
        <v>1310</v>
      </c>
      <c r="C108" s="249"/>
      <c r="D108" s="86">
        <f t="shared" si="14"/>
        <v>105</v>
      </c>
      <c r="E108" s="80">
        <f t="shared" si="20"/>
        <v>1310</v>
      </c>
      <c r="G108" s="86">
        <f t="shared" si="15"/>
        <v>105</v>
      </c>
      <c r="H108" s="80">
        <f t="shared" si="21"/>
        <v>1921.1</v>
      </c>
      <c r="I108" s="28"/>
      <c r="J108" s="86">
        <f t="shared" si="16"/>
        <v>105</v>
      </c>
      <c r="K108" s="80">
        <f t="shared" si="22"/>
        <v>2112</v>
      </c>
      <c r="M108" s="4">
        <v>105</v>
      </c>
      <c r="N108" s="5">
        <f t="shared" si="17"/>
        <v>363.1</v>
      </c>
    </row>
    <row r="109" spans="1:14" ht="16.5">
      <c r="A109" s="86">
        <f t="shared" si="18"/>
        <v>106</v>
      </c>
      <c r="B109" s="80">
        <f t="shared" si="19"/>
        <v>1321.6</v>
      </c>
      <c r="C109" s="249"/>
      <c r="D109" s="86">
        <f t="shared" si="14"/>
        <v>106</v>
      </c>
      <c r="E109" s="80">
        <f t="shared" si="20"/>
        <v>1321.6</v>
      </c>
      <c r="G109" s="86">
        <f t="shared" si="15"/>
        <v>106</v>
      </c>
      <c r="H109" s="80">
        <f t="shared" si="21"/>
        <v>1938.1</v>
      </c>
      <c r="I109" s="28"/>
      <c r="J109" s="86">
        <f t="shared" si="16"/>
        <v>106</v>
      </c>
      <c r="K109" s="80">
        <f t="shared" si="22"/>
        <v>2130.6999999999998</v>
      </c>
      <c r="M109" s="4">
        <v>106</v>
      </c>
      <c r="N109" s="5">
        <f t="shared" si="17"/>
        <v>366.1</v>
      </c>
    </row>
    <row r="110" spans="1:14" ht="16.5">
      <c r="A110" s="86">
        <f t="shared" si="18"/>
        <v>107</v>
      </c>
      <c r="B110" s="80">
        <f t="shared" si="19"/>
        <v>1333.1999999999998</v>
      </c>
      <c r="C110" s="249"/>
      <c r="D110" s="86">
        <f t="shared" si="14"/>
        <v>107</v>
      </c>
      <c r="E110" s="80">
        <f t="shared" si="20"/>
        <v>1333.1999999999998</v>
      </c>
      <c r="G110" s="86">
        <f t="shared" si="15"/>
        <v>107</v>
      </c>
      <c r="H110" s="80">
        <f t="shared" si="21"/>
        <v>1955.1</v>
      </c>
      <c r="I110" s="28"/>
      <c r="J110" s="86">
        <f t="shared" si="16"/>
        <v>107</v>
      </c>
      <c r="K110" s="80">
        <f t="shared" si="22"/>
        <v>2149.3999999999996</v>
      </c>
      <c r="M110" s="4">
        <v>107</v>
      </c>
      <c r="N110" s="5">
        <f t="shared" si="17"/>
        <v>369.1</v>
      </c>
    </row>
    <row r="111" spans="1:14" ht="16.5">
      <c r="A111" s="86">
        <f t="shared" si="18"/>
        <v>108</v>
      </c>
      <c r="B111" s="80">
        <f t="shared" si="19"/>
        <v>1344.8</v>
      </c>
      <c r="C111" s="249"/>
      <c r="D111" s="86">
        <f t="shared" si="14"/>
        <v>108</v>
      </c>
      <c r="E111" s="80">
        <f t="shared" si="20"/>
        <v>1344.8</v>
      </c>
      <c r="G111" s="86">
        <f t="shared" si="15"/>
        <v>108</v>
      </c>
      <c r="H111" s="80">
        <f t="shared" si="21"/>
        <v>1972.1</v>
      </c>
      <c r="I111" s="28"/>
      <c r="J111" s="86">
        <f t="shared" si="16"/>
        <v>108</v>
      </c>
      <c r="K111" s="80">
        <f t="shared" si="22"/>
        <v>2168.1</v>
      </c>
      <c r="M111" s="4">
        <v>108</v>
      </c>
      <c r="N111" s="5">
        <f t="shared" si="17"/>
        <v>372.1</v>
      </c>
    </row>
    <row r="112" spans="1:14" ht="16.5">
      <c r="A112" s="86">
        <f t="shared" si="18"/>
        <v>109</v>
      </c>
      <c r="B112" s="80">
        <f t="shared" si="19"/>
        <v>1356.4</v>
      </c>
      <c r="C112" s="249"/>
      <c r="D112" s="86">
        <f t="shared" si="14"/>
        <v>109</v>
      </c>
      <c r="E112" s="80">
        <f t="shared" si="20"/>
        <v>1356.4</v>
      </c>
      <c r="G112" s="86">
        <f t="shared" si="15"/>
        <v>109</v>
      </c>
      <c r="H112" s="80">
        <f t="shared" si="21"/>
        <v>1989.1</v>
      </c>
      <c r="I112" s="28"/>
      <c r="J112" s="86">
        <f t="shared" si="16"/>
        <v>109</v>
      </c>
      <c r="K112" s="80">
        <f t="shared" si="22"/>
        <v>2186.8000000000002</v>
      </c>
      <c r="M112" s="4">
        <v>109</v>
      </c>
      <c r="N112" s="5">
        <f t="shared" si="17"/>
        <v>375.1</v>
      </c>
    </row>
    <row r="113" spans="1:14" ht="16.5">
      <c r="A113" s="86">
        <f t="shared" si="18"/>
        <v>110</v>
      </c>
      <c r="B113" s="80">
        <f t="shared" si="19"/>
        <v>1368</v>
      </c>
      <c r="C113" s="249"/>
      <c r="D113" s="86">
        <f t="shared" si="14"/>
        <v>110</v>
      </c>
      <c r="E113" s="80">
        <f t="shared" si="20"/>
        <v>1368</v>
      </c>
      <c r="G113" s="86">
        <f t="shared" si="15"/>
        <v>110</v>
      </c>
      <c r="H113" s="80">
        <f t="shared" si="21"/>
        <v>2006.1</v>
      </c>
      <c r="I113" s="28"/>
      <c r="J113" s="86">
        <f t="shared" si="16"/>
        <v>110</v>
      </c>
      <c r="K113" s="80">
        <f t="shared" si="22"/>
        <v>2205.5</v>
      </c>
      <c r="M113" s="4">
        <v>110</v>
      </c>
      <c r="N113" s="5">
        <f t="shared" si="17"/>
        <v>378.1</v>
      </c>
    </row>
    <row r="114" spans="1:14" ht="16.5">
      <c r="A114" s="86">
        <f t="shared" si="18"/>
        <v>111</v>
      </c>
      <c r="B114" s="80">
        <f t="shared" si="19"/>
        <v>1379.6</v>
      </c>
      <c r="C114" s="249"/>
      <c r="D114" s="86">
        <f t="shared" si="14"/>
        <v>111</v>
      </c>
      <c r="E114" s="80">
        <f t="shared" si="20"/>
        <v>1379.6</v>
      </c>
      <c r="G114" s="86">
        <f t="shared" si="15"/>
        <v>111</v>
      </c>
      <c r="H114" s="80">
        <f t="shared" si="21"/>
        <v>2023.1</v>
      </c>
      <c r="I114" s="28"/>
      <c r="J114" s="86">
        <f t="shared" si="16"/>
        <v>111</v>
      </c>
      <c r="K114" s="80">
        <f t="shared" si="22"/>
        <v>2224.1999999999998</v>
      </c>
      <c r="M114" s="4">
        <v>111</v>
      </c>
      <c r="N114" s="5">
        <f t="shared" si="17"/>
        <v>381.1</v>
      </c>
    </row>
    <row r="115" spans="1:14" ht="16.5">
      <c r="A115" s="86">
        <f t="shared" si="18"/>
        <v>112</v>
      </c>
      <c r="B115" s="80">
        <f t="shared" si="19"/>
        <v>1391.1999999999998</v>
      </c>
      <c r="C115" s="249"/>
      <c r="D115" s="86">
        <f t="shared" si="14"/>
        <v>112</v>
      </c>
      <c r="E115" s="80">
        <f t="shared" si="20"/>
        <v>1391.1999999999998</v>
      </c>
      <c r="G115" s="86">
        <f t="shared" si="15"/>
        <v>112</v>
      </c>
      <c r="H115" s="80">
        <f t="shared" si="21"/>
        <v>2040.1</v>
      </c>
      <c r="I115" s="28"/>
      <c r="J115" s="86">
        <f t="shared" si="16"/>
        <v>112</v>
      </c>
      <c r="K115" s="80">
        <f t="shared" si="22"/>
        <v>2242.8999999999996</v>
      </c>
      <c r="M115" s="4">
        <v>112</v>
      </c>
      <c r="N115" s="5">
        <f t="shared" si="17"/>
        <v>384.1</v>
      </c>
    </row>
    <row r="116" spans="1:14" ht="16.5">
      <c r="A116" s="86">
        <f t="shared" si="18"/>
        <v>113</v>
      </c>
      <c r="B116" s="80">
        <f t="shared" si="19"/>
        <v>1402.8</v>
      </c>
      <c r="C116" s="249"/>
      <c r="D116" s="86">
        <f t="shared" si="14"/>
        <v>113</v>
      </c>
      <c r="E116" s="80">
        <f t="shared" si="20"/>
        <v>1402.8</v>
      </c>
      <c r="G116" s="86">
        <f t="shared" si="15"/>
        <v>113</v>
      </c>
      <c r="H116" s="80">
        <f t="shared" si="21"/>
        <v>2057.1</v>
      </c>
      <c r="I116" s="28"/>
      <c r="J116" s="86">
        <f t="shared" si="16"/>
        <v>113</v>
      </c>
      <c r="K116" s="80">
        <f t="shared" si="22"/>
        <v>2261.6</v>
      </c>
      <c r="M116" s="4">
        <v>113</v>
      </c>
      <c r="N116" s="5">
        <f t="shared" si="17"/>
        <v>387.1</v>
      </c>
    </row>
    <row r="117" spans="1:14" ht="16.5">
      <c r="A117" s="86">
        <f t="shared" si="18"/>
        <v>114</v>
      </c>
      <c r="B117" s="80">
        <f t="shared" si="19"/>
        <v>1414.4</v>
      </c>
      <c r="C117" s="249"/>
      <c r="D117" s="86">
        <f t="shared" si="14"/>
        <v>114</v>
      </c>
      <c r="E117" s="80">
        <f t="shared" si="20"/>
        <v>1414.4</v>
      </c>
      <c r="G117" s="86">
        <f t="shared" si="15"/>
        <v>114</v>
      </c>
      <c r="H117" s="80">
        <f t="shared" si="21"/>
        <v>2074.1</v>
      </c>
      <c r="I117" s="28"/>
      <c r="J117" s="86">
        <f t="shared" si="16"/>
        <v>114</v>
      </c>
      <c r="K117" s="80">
        <f t="shared" si="22"/>
        <v>2280.3000000000002</v>
      </c>
      <c r="M117" s="4">
        <v>114</v>
      </c>
      <c r="N117" s="5">
        <f t="shared" si="17"/>
        <v>390.1</v>
      </c>
    </row>
    <row r="118" spans="1:14" ht="16.5">
      <c r="A118" s="86">
        <f t="shared" si="18"/>
        <v>115</v>
      </c>
      <c r="B118" s="80">
        <f t="shared" si="19"/>
        <v>1426</v>
      </c>
      <c r="C118" s="249"/>
      <c r="D118" s="86">
        <f t="shared" si="14"/>
        <v>115</v>
      </c>
      <c r="E118" s="80">
        <f t="shared" si="20"/>
        <v>1426</v>
      </c>
      <c r="G118" s="86">
        <f t="shared" si="15"/>
        <v>115</v>
      </c>
      <c r="H118" s="80">
        <f t="shared" si="21"/>
        <v>2091.1</v>
      </c>
      <c r="I118" s="28"/>
      <c r="J118" s="86">
        <f t="shared" si="16"/>
        <v>115</v>
      </c>
      <c r="K118" s="80">
        <f t="shared" si="22"/>
        <v>2299</v>
      </c>
      <c r="M118" s="4">
        <v>115</v>
      </c>
      <c r="N118" s="5">
        <f t="shared" si="17"/>
        <v>393.1</v>
      </c>
    </row>
    <row r="119" spans="1:14" ht="16.5">
      <c r="A119" s="86">
        <f t="shared" si="18"/>
        <v>116</v>
      </c>
      <c r="B119" s="80">
        <f t="shared" si="19"/>
        <v>1437.6</v>
      </c>
      <c r="C119" s="249"/>
      <c r="D119" s="86">
        <f t="shared" si="14"/>
        <v>116</v>
      </c>
      <c r="E119" s="80">
        <f t="shared" si="20"/>
        <v>1437.6</v>
      </c>
      <c r="G119" s="86">
        <f t="shared" si="15"/>
        <v>116</v>
      </c>
      <c r="H119" s="80">
        <f t="shared" si="21"/>
        <v>2108.1</v>
      </c>
      <c r="I119" s="28"/>
      <c r="J119" s="86">
        <f t="shared" si="16"/>
        <v>116</v>
      </c>
      <c r="K119" s="80">
        <f t="shared" si="22"/>
        <v>2317.6999999999998</v>
      </c>
      <c r="M119" s="4">
        <v>116</v>
      </c>
      <c r="N119" s="5">
        <f t="shared" si="17"/>
        <v>396.1</v>
      </c>
    </row>
    <row r="120" spans="1:14" ht="16.5">
      <c r="A120" s="86">
        <f t="shared" si="18"/>
        <v>117</v>
      </c>
      <c r="B120" s="80">
        <f t="shared" si="19"/>
        <v>1449.1999999999998</v>
      </c>
      <c r="C120" s="249"/>
      <c r="D120" s="86">
        <f t="shared" si="14"/>
        <v>117</v>
      </c>
      <c r="E120" s="80">
        <f t="shared" si="20"/>
        <v>1449.1999999999998</v>
      </c>
      <c r="G120" s="86">
        <f t="shared" si="15"/>
        <v>117</v>
      </c>
      <c r="H120" s="80">
        <f t="shared" si="21"/>
        <v>2125.1</v>
      </c>
      <c r="I120" s="28"/>
      <c r="J120" s="86">
        <f t="shared" si="16"/>
        <v>117</v>
      </c>
      <c r="K120" s="80">
        <f t="shared" si="22"/>
        <v>2336.3999999999996</v>
      </c>
      <c r="M120" s="4">
        <v>117</v>
      </c>
      <c r="N120" s="5">
        <f t="shared" si="17"/>
        <v>399.1</v>
      </c>
    </row>
    <row r="121" spans="1:14" ht="16.5">
      <c r="A121" s="86">
        <f t="shared" si="18"/>
        <v>118</v>
      </c>
      <c r="B121" s="80">
        <f t="shared" si="19"/>
        <v>1460.8</v>
      </c>
      <c r="C121" s="249"/>
      <c r="D121" s="86">
        <f t="shared" si="14"/>
        <v>118</v>
      </c>
      <c r="E121" s="80">
        <f t="shared" si="20"/>
        <v>1460.8</v>
      </c>
      <c r="G121" s="86">
        <f t="shared" si="15"/>
        <v>118</v>
      </c>
      <c r="H121" s="80">
        <f t="shared" si="21"/>
        <v>2142.1</v>
      </c>
      <c r="I121" s="28"/>
      <c r="J121" s="86">
        <f t="shared" si="16"/>
        <v>118</v>
      </c>
      <c r="K121" s="80">
        <f t="shared" si="22"/>
        <v>2355.1</v>
      </c>
      <c r="M121" s="4">
        <v>118</v>
      </c>
      <c r="N121" s="5">
        <f t="shared" si="17"/>
        <v>402.1</v>
      </c>
    </row>
    <row r="122" spans="1:14" ht="16.5">
      <c r="A122" s="86">
        <f t="shared" si="18"/>
        <v>119</v>
      </c>
      <c r="B122" s="80">
        <f t="shared" si="19"/>
        <v>1472.3999999999999</v>
      </c>
      <c r="C122" s="249"/>
      <c r="D122" s="86">
        <f t="shared" si="14"/>
        <v>119</v>
      </c>
      <c r="E122" s="80">
        <f t="shared" si="20"/>
        <v>1472.3999999999999</v>
      </c>
      <c r="G122" s="86">
        <f t="shared" si="15"/>
        <v>119</v>
      </c>
      <c r="H122" s="80">
        <f t="shared" si="21"/>
        <v>2159.1</v>
      </c>
      <c r="I122" s="28"/>
      <c r="J122" s="86">
        <f t="shared" si="16"/>
        <v>119</v>
      </c>
      <c r="K122" s="80">
        <f t="shared" si="22"/>
        <v>2373.8000000000002</v>
      </c>
      <c r="M122" s="4">
        <v>119</v>
      </c>
      <c r="N122" s="5">
        <f t="shared" si="17"/>
        <v>405.1</v>
      </c>
    </row>
    <row r="123" spans="1:14" ht="16.5">
      <c r="A123" s="86">
        <f t="shared" si="18"/>
        <v>120</v>
      </c>
      <c r="B123" s="80">
        <f t="shared" si="19"/>
        <v>1484</v>
      </c>
      <c r="C123" s="249"/>
      <c r="D123" s="86">
        <f t="shared" si="14"/>
        <v>120</v>
      </c>
      <c r="E123" s="80">
        <f t="shared" si="20"/>
        <v>1484</v>
      </c>
      <c r="G123" s="86">
        <f t="shared" si="15"/>
        <v>120</v>
      </c>
      <c r="H123" s="80">
        <f t="shared" si="21"/>
        <v>2176.1</v>
      </c>
      <c r="I123" s="28"/>
      <c r="J123" s="86">
        <f t="shared" si="16"/>
        <v>120</v>
      </c>
      <c r="K123" s="80">
        <f t="shared" si="22"/>
        <v>2392.5</v>
      </c>
      <c r="M123" s="4">
        <v>120</v>
      </c>
      <c r="N123" s="5">
        <f t="shared" si="17"/>
        <v>408.1</v>
      </c>
    </row>
    <row r="124" spans="1:14" ht="16.5">
      <c r="A124" s="86">
        <f t="shared" si="18"/>
        <v>121</v>
      </c>
      <c r="B124" s="80">
        <f t="shared" si="19"/>
        <v>1495.6</v>
      </c>
      <c r="C124" s="249"/>
      <c r="D124" s="86">
        <f t="shared" si="14"/>
        <v>121</v>
      </c>
      <c r="E124" s="80">
        <f t="shared" si="20"/>
        <v>1495.6</v>
      </c>
      <c r="G124" s="86">
        <f t="shared" si="15"/>
        <v>121</v>
      </c>
      <c r="H124" s="80">
        <f t="shared" si="21"/>
        <v>2193.1</v>
      </c>
      <c r="I124" s="28"/>
      <c r="J124" s="86">
        <f t="shared" si="16"/>
        <v>121</v>
      </c>
      <c r="K124" s="80">
        <f t="shared" si="22"/>
        <v>2411.1999999999998</v>
      </c>
      <c r="M124" s="4">
        <v>121</v>
      </c>
      <c r="N124" s="5">
        <f t="shared" si="17"/>
        <v>411.1</v>
      </c>
    </row>
    <row r="125" spans="1:14" ht="16.5">
      <c r="A125" s="86">
        <f t="shared" si="18"/>
        <v>122</v>
      </c>
      <c r="B125" s="80">
        <f t="shared" si="19"/>
        <v>1507.2</v>
      </c>
      <c r="C125" s="249"/>
      <c r="D125" s="86">
        <f t="shared" si="14"/>
        <v>122</v>
      </c>
      <c r="E125" s="80">
        <f t="shared" si="20"/>
        <v>1507.2</v>
      </c>
      <c r="G125" s="86">
        <f t="shared" si="15"/>
        <v>122</v>
      </c>
      <c r="H125" s="80">
        <f t="shared" si="21"/>
        <v>2210.1</v>
      </c>
      <c r="I125" s="28"/>
      <c r="J125" s="86">
        <f t="shared" si="16"/>
        <v>122</v>
      </c>
      <c r="K125" s="80">
        <f t="shared" si="22"/>
        <v>2429.8999999999996</v>
      </c>
      <c r="M125" s="4">
        <v>122</v>
      </c>
      <c r="N125" s="5">
        <f t="shared" si="17"/>
        <v>414.1</v>
      </c>
    </row>
    <row r="126" spans="1:14" ht="16.5">
      <c r="A126" s="86">
        <f t="shared" si="18"/>
        <v>123</v>
      </c>
      <c r="B126" s="80">
        <f t="shared" si="19"/>
        <v>1518.8</v>
      </c>
      <c r="C126" s="249"/>
      <c r="D126" s="86">
        <f t="shared" si="14"/>
        <v>123</v>
      </c>
      <c r="E126" s="80">
        <f t="shared" si="20"/>
        <v>1518.8</v>
      </c>
      <c r="G126" s="86">
        <f t="shared" si="15"/>
        <v>123</v>
      </c>
      <c r="H126" s="80">
        <f t="shared" si="21"/>
        <v>2227.1</v>
      </c>
      <c r="I126" s="28"/>
      <c r="J126" s="86">
        <f t="shared" si="16"/>
        <v>123</v>
      </c>
      <c r="K126" s="80">
        <f t="shared" si="22"/>
        <v>2448.6</v>
      </c>
      <c r="M126" s="4">
        <v>123</v>
      </c>
      <c r="N126" s="5">
        <f t="shared" si="17"/>
        <v>417.1</v>
      </c>
    </row>
    <row r="127" spans="1:14" ht="16.5">
      <c r="A127" s="86">
        <f t="shared" si="18"/>
        <v>124</v>
      </c>
      <c r="B127" s="80">
        <f t="shared" si="19"/>
        <v>1530.3999999999999</v>
      </c>
      <c r="C127" s="249"/>
      <c r="D127" s="86">
        <f t="shared" si="14"/>
        <v>124</v>
      </c>
      <c r="E127" s="80">
        <f t="shared" si="20"/>
        <v>1530.3999999999999</v>
      </c>
      <c r="G127" s="86">
        <f t="shared" si="15"/>
        <v>124</v>
      </c>
      <c r="H127" s="80">
        <f t="shared" si="21"/>
        <v>2244.1</v>
      </c>
      <c r="I127" s="28"/>
      <c r="J127" s="86">
        <f t="shared" si="16"/>
        <v>124</v>
      </c>
      <c r="K127" s="80">
        <f t="shared" si="22"/>
        <v>2467.3000000000002</v>
      </c>
      <c r="M127" s="4">
        <v>124</v>
      </c>
      <c r="N127" s="5">
        <f t="shared" si="17"/>
        <v>420.1</v>
      </c>
    </row>
    <row r="128" spans="1:14" ht="16.5">
      <c r="A128" s="86">
        <f t="shared" si="18"/>
        <v>125</v>
      </c>
      <c r="B128" s="80">
        <f t="shared" si="19"/>
        <v>1542</v>
      </c>
      <c r="C128" s="249"/>
      <c r="D128" s="86">
        <f t="shared" si="14"/>
        <v>125</v>
      </c>
      <c r="E128" s="80">
        <f t="shared" si="20"/>
        <v>1542</v>
      </c>
      <c r="G128" s="86">
        <f t="shared" si="15"/>
        <v>125</v>
      </c>
      <c r="H128" s="80">
        <f t="shared" si="21"/>
        <v>2261.1</v>
      </c>
      <c r="I128" s="28"/>
      <c r="J128" s="86">
        <f t="shared" si="16"/>
        <v>125</v>
      </c>
      <c r="K128" s="80">
        <f t="shared" si="22"/>
        <v>2486</v>
      </c>
      <c r="M128" s="4">
        <v>125</v>
      </c>
      <c r="N128" s="5">
        <f t="shared" si="17"/>
        <v>423.1</v>
      </c>
    </row>
    <row r="129" spans="1:14" ht="16.5">
      <c r="A129" s="86">
        <f t="shared" si="18"/>
        <v>126</v>
      </c>
      <c r="B129" s="80">
        <f t="shared" si="19"/>
        <v>1553.6</v>
      </c>
      <c r="C129" s="249"/>
      <c r="D129" s="86">
        <f t="shared" si="14"/>
        <v>126</v>
      </c>
      <c r="E129" s="80">
        <f t="shared" si="20"/>
        <v>1553.6</v>
      </c>
      <c r="G129" s="86">
        <f t="shared" si="15"/>
        <v>126</v>
      </c>
      <c r="H129" s="80">
        <f t="shared" si="21"/>
        <v>2278.1</v>
      </c>
      <c r="I129" s="28"/>
      <c r="J129" s="86">
        <f t="shared" si="16"/>
        <v>126</v>
      </c>
      <c r="K129" s="80">
        <f t="shared" si="22"/>
        <v>2504.6999999999998</v>
      </c>
      <c r="M129" s="4">
        <v>126</v>
      </c>
      <c r="N129" s="5">
        <f t="shared" si="17"/>
        <v>426.1</v>
      </c>
    </row>
    <row r="130" spans="1:14" ht="16.5">
      <c r="A130" s="86">
        <f t="shared" si="18"/>
        <v>127</v>
      </c>
      <c r="B130" s="80">
        <f t="shared" si="19"/>
        <v>1565.2</v>
      </c>
      <c r="C130" s="249"/>
      <c r="D130" s="86">
        <f t="shared" si="14"/>
        <v>127</v>
      </c>
      <c r="E130" s="80">
        <f t="shared" si="20"/>
        <v>1565.2</v>
      </c>
      <c r="G130" s="86">
        <f t="shared" si="15"/>
        <v>127</v>
      </c>
      <c r="H130" s="80">
        <f t="shared" si="21"/>
        <v>2295.1</v>
      </c>
      <c r="I130" s="28"/>
      <c r="J130" s="86">
        <f t="shared" si="16"/>
        <v>127</v>
      </c>
      <c r="K130" s="80">
        <f t="shared" si="22"/>
        <v>2523.3999999999996</v>
      </c>
      <c r="M130" s="4">
        <v>127</v>
      </c>
      <c r="N130" s="5">
        <f t="shared" si="17"/>
        <v>429.1</v>
      </c>
    </row>
    <row r="131" spans="1:14" ht="16.5">
      <c r="A131" s="86">
        <f t="shared" si="18"/>
        <v>128</v>
      </c>
      <c r="B131" s="80">
        <f t="shared" si="19"/>
        <v>1576.8</v>
      </c>
      <c r="C131" s="249"/>
      <c r="D131" s="86">
        <f t="shared" si="14"/>
        <v>128</v>
      </c>
      <c r="E131" s="80">
        <f t="shared" si="20"/>
        <v>1576.8</v>
      </c>
      <c r="G131" s="86">
        <f t="shared" si="15"/>
        <v>128</v>
      </c>
      <c r="H131" s="80">
        <f t="shared" si="21"/>
        <v>2312.1</v>
      </c>
      <c r="I131" s="28"/>
      <c r="J131" s="86">
        <f t="shared" si="16"/>
        <v>128</v>
      </c>
      <c r="K131" s="80">
        <f t="shared" si="22"/>
        <v>2542.1</v>
      </c>
      <c r="M131" s="4">
        <v>128</v>
      </c>
      <c r="N131" s="5">
        <f t="shared" si="17"/>
        <v>432.1</v>
      </c>
    </row>
    <row r="132" spans="1:14" ht="16.5">
      <c r="A132" s="86">
        <f t="shared" si="18"/>
        <v>129</v>
      </c>
      <c r="B132" s="80">
        <f t="shared" si="19"/>
        <v>1588.3999999999999</v>
      </c>
      <c r="C132" s="249"/>
      <c r="D132" s="86">
        <f t="shared" si="14"/>
        <v>129</v>
      </c>
      <c r="E132" s="80">
        <f t="shared" si="20"/>
        <v>1588.3999999999999</v>
      </c>
      <c r="G132" s="86">
        <f t="shared" si="15"/>
        <v>129</v>
      </c>
      <c r="H132" s="80">
        <f t="shared" si="21"/>
        <v>2329.1</v>
      </c>
      <c r="I132" s="28"/>
      <c r="J132" s="86">
        <f t="shared" si="16"/>
        <v>129</v>
      </c>
      <c r="K132" s="80">
        <f t="shared" si="22"/>
        <v>2560.8000000000002</v>
      </c>
      <c r="M132" s="4">
        <v>129</v>
      </c>
      <c r="N132" s="5">
        <f t="shared" si="17"/>
        <v>435.1</v>
      </c>
    </row>
    <row r="133" spans="1:14" ht="16.5">
      <c r="A133" s="86">
        <f t="shared" si="18"/>
        <v>130</v>
      </c>
      <c r="B133" s="80">
        <f t="shared" si="19"/>
        <v>1600</v>
      </c>
      <c r="C133" s="249"/>
      <c r="D133" s="86">
        <f t="shared" ref="D133:D196" si="23">D132+1</f>
        <v>130</v>
      </c>
      <c r="E133" s="80">
        <f t="shared" si="20"/>
        <v>1600</v>
      </c>
      <c r="G133" s="86">
        <f t="shared" si="15"/>
        <v>130</v>
      </c>
      <c r="H133" s="80">
        <f t="shared" si="21"/>
        <v>2346.1</v>
      </c>
      <c r="I133" s="28"/>
      <c r="J133" s="86">
        <f t="shared" si="16"/>
        <v>130</v>
      </c>
      <c r="K133" s="80">
        <f t="shared" si="22"/>
        <v>2579.5</v>
      </c>
      <c r="M133" s="4">
        <v>130</v>
      </c>
      <c r="N133" s="5">
        <f t="shared" si="17"/>
        <v>438.1</v>
      </c>
    </row>
    <row r="134" spans="1:14" ht="16.5">
      <c r="A134" s="86">
        <f t="shared" si="18"/>
        <v>131</v>
      </c>
      <c r="B134" s="80">
        <f t="shared" si="19"/>
        <v>1611.6</v>
      </c>
      <c r="C134" s="249"/>
      <c r="D134" s="86">
        <f t="shared" si="23"/>
        <v>131</v>
      </c>
      <c r="E134" s="80">
        <f t="shared" si="20"/>
        <v>1611.6</v>
      </c>
      <c r="G134" s="86">
        <f t="shared" ref="G134:G197" si="24">G133+1</f>
        <v>131</v>
      </c>
      <c r="H134" s="80">
        <f t="shared" si="21"/>
        <v>2363.1</v>
      </c>
      <c r="I134" s="28"/>
      <c r="J134" s="86">
        <f t="shared" ref="J134:J197" si="25">J133+1</f>
        <v>131</v>
      </c>
      <c r="K134" s="80">
        <f t="shared" si="22"/>
        <v>2598.1999999999998</v>
      </c>
      <c r="M134" s="4">
        <v>131</v>
      </c>
      <c r="N134" s="5">
        <f t="shared" si="17"/>
        <v>441.1</v>
      </c>
    </row>
    <row r="135" spans="1:14" ht="16.5">
      <c r="A135" s="86">
        <f t="shared" si="18"/>
        <v>132</v>
      </c>
      <c r="B135" s="80">
        <f t="shared" si="19"/>
        <v>1623.2</v>
      </c>
      <c r="C135" s="249"/>
      <c r="D135" s="86">
        <f t="shared" si="23"/>
        <v>132</v>
      </c>
      <c r="E135" s="80">
        <f t="shared" si="20"/>
        <v>1623.2</v>
      </c>
      <c r="G135" s="86">
        <f t="shared" si="24"/>
        <v>132</v>
      </c>
      <c r="H135" s="80">
        <f t="shared" si="21"/>
        <v>2380.1</v>
      </c>
      <c r="I135" s="28"/>
      <c r="J135" s="86">
        <f t="shared" si="25"/>
        <v>132</v>
      </c>
      <c r="K135" s="80">
        <f t="shared" si="22"/>
        <v>2616.8999999999996</v>
      </c>
      <c r="M135" s="4">
        <v>132</v>
      </c>
      <c r="N135" s="5">
        <f t="shared" si="17"/>
        <v>444.1</v>
      </c>
    </row>
    <row r="136" spans="1:14" ht="16.5">
      <c r="A136" s="86">
        <f t="shared" si="18"/>
        <v>133</v>
      </c>
      <c r="B136" s="80">
        <f t="shared" si="19"/>
        <v>1634.8</v>
      </c>
      <c r="C136" s="249"/>
      <c r="D136" s="86">
        <f t="shared" si="23"/>
        <v>133</v>
      </c>
      <c r="E136" s="80">
        <f t="shared" si="20"/>
        <v>1634.8</v>
      </c>
      <c r="G136" s="86">
        <f t="shared" si="24"/>
        <v>133</v>
      </c>
      <c r="H136" s="80">
        <f t="shared" si="21"/>
        <v>2397.1</v>
      </c>
      <c r="I136" s="28"/>
      <c r="J136" s="86">
        <f t="shared" si="25"/>
        <v>133</v>
      </c>
      <c r="K136" s="80">
        <f t="shared" si="22"/>
        <v>2635.6</v>
      </c>
      <c r="M136" s="4">
        <v>133</v>
      </c>
      <c r="N136" s="5">
        <f t="shared" si="17"/>
        <v>447.1</v>
      </c>
    </row>
    <row r="137" spans="1:14" ht="16.5">
      <c r="A137" s="86">
        <f t="shared" si="18"/>
        <v>134</v>
      </c>
      <c r="B137" s="80">
        <f t="shared" si="19"/>
        <v>1646.3999999999999</v>
      </c>
      <c r="C137" s="249"/>
      <c r="D137" s="86">
        <f t="shared" si="23"/>
        <v>134</v>
      </c>
      <c r="E137" s="80">
        <f t="shared" si="20"/>
        <v>1646.3999999999999</v>
      </c>
      <c r="G137" s="86">
        <f t="shared" si="24"/>
        <v>134</v>
      </c>
      <c r="H137" s="80">
        <f t="shared" si="21"/>
        <v>2414.1</v>
      </c>
      <c r="I137" s="28"/>
      <c r="J137" s="86">
        <f t="shared" si="25"/>
        <v>134</v>
      </c>
      <c r="K137" s="80">
        <f t="shared" si="22"/>
        <v>2654.3</v>
      </c>
      <c r="M137" s="4">
        <v>134</v>
      </c>
      <c r="N137" s="5">
        <f t="shared" ref="N137:N200" si="26">N136+3</f>
        <v>450.1</v>
      </c>
    </row>
    <row r="138" spans="1:14" ht="16.5">
      <c r="A138" s="86">
        <f t="shared" si="18"/>
        <v>135</v>
      </c>
      <c r="B138" s="80">
        <f t="shared" si="19"/>
        <v>1658</v>
      </c>
      <c r="C138" s="249"/>
      <c r="D138" s="86">
        <f t="shared" si="23"/>
        <v>135</v>
      </c>
      <c r="E138" s="80">
        <f t="shared" si="20"/>
        <v>1658</v>
      </c>
      <c r="G138" s="86">
        <f t="shared" si="24"/>
        <v>135</v>
      </c>
      <c r="H138" s="80">
        <f t="shared" si="21"/>
        <v>2431.1</v>
      </c>
      <c r="I138" s="28"/>
      <c r="J138" s="86">
        <f t="shared" si="25"/>
        <v>135</v>
      </c>
      <c r="K138" s="80">
        <f t="shared" si="22"/>
        <v>2673</v>
      </c>
      <c r="M138" s="4">
        <v>135</v>
      </c>
      <c r="N138" s="5">
        <f t="shared" si="26"/>
        <v>453.1</v>
      </c>
    </row>
    <row r="139" spans="1:14" ht="16.5">
      <c r="A139" s="86">
        <f t="shared" si="18"/>
        <v>136</v>
      </c>
      <c r="B139" s="80">
        <f t="shared" si="19"/>
        <v>1669.6</v>
      </c>
      <c r="C139" s="249"/>
      <c r="D139" s="86">
        <f t="shared" si="23"/>
        <v>136</v>
      </c>
      <c r="E139" s="80">
        <f t="shared" si="20"/>
        <v>1669.6</v>
      </c>
      <c r="G139" s="86">
        <f t="shared" si="24"/>
        <v>136</v>
      </c>
      <c r="H139" s="80">
        <f t="shared" si="21"/>
        <v>2448.1</v>
      </c>
      <c r="I139" s="28"/>
      <c r="J139" s="86">
        <f t="shared" si="25"/>
        <v>136</v>
      </c>
      <c r="K139" s="80">
        <f t="shared" si="22"/>
        <v>2691.7</v>
      </c>
      <c r="M139" s="4">
        <v>136</v>
      </c>
      <c r="N139" s="5">
        <f t="shared" si="26"/>
        <v>456.1</v>
      </c>
    </row>
    <row r="140" spans="1:14" ht="16.5">
      <c r="A140" s="86">
        <f t="shared" si="18"/>
        <v>137</v>
      </c>
      <c r="B140" s="80">
        <f t="shared" si="19"/>
        <v>1681.2</v>
      </c>
      <c r="C140" s="249"/>
      <c r="D140" s="86">
        <f t="shared" si="23"/>
        <v>137</v>
      </c>
      <c r="E140" s="80">
        <f t="shared" si="20"/>
        <v>1681.2</v>
      </c>
      <c r="G140" s="86">
        <f t="shared" si="24"/>
        <v>137</v>
      </c>
      <c r="H140" s="80">
        <f t="shared" si="21"/>
        <v>2465.1</v>
      </c>
      <c r="I140" s="28"/>
      <c r="J140" s="86">
        <f t="shared" si="25"/>
        <v>137</v>
      </c>
      <c r="K140" s="80">
        <f t="shared" si="22"/>
        <v>2710.3999999999996</v>
      </c>
      <c r="M140" s="4">
        <v>137</v>
      </c>
      <c r="N140" s="5">
        <f t="shared" si="26"/>
        <v>459.1</v>
      </c>
    </row>
    <row r="141" spans="1:14" ht="16.5">
      <c r="A141" s="86">
        <f t="shared" si="18"/>
        <v>138</v>
      </c>
      <c r="B141" s="80">
        <f t="shared" si="19"/>
        <v>1692.8</v>
      </c>
      <c r="C141" s="249"/>
      <c r="D141" s="86">
        <f t="shared" si="23"/>
        <v>138</v>
      </c>
      <c r="E141" s="80">
        <f t="shared" si="20"/>
        <v>1692.8</v>
      </c>
      <c r="G141" s="86">
        <f t="shared" si="24"/>
        <v>138</v>
      </c>
      <c r="H141" s="80">
        <f t="shared" si="21"/>
        <v>2482.1</v>
      </c>
      <c r="I141" s="28"/>
      <c r="J141" s="86">
        <f t="shared" si="25"/>
        <v>138</v>
      </c>
      <c r="K141" s="80">
        <f t="shared" si="22"/>
        <v>2729.1</v>
      </c>
      <c r="M141" s="4">
        <v>138</v>
      </c>
      <c r="N141" s="5">
        <f t="shared" si="26"/>
        <v>462.1</v>
      </c>
    </row>
    <row r="142" spans="1:14" ht="16.5">
      <c r="A142" s="86">
        <f t="shared" si="18"/>
        <v>139</v>
      </c>
      <c r="B142" s="80">
        <f t="shared" si="19"/>
        <v>1704.3999999999999</v>
      </c>
      <c r="C142" s="249"/>
      <c r="D142" s="86">
        <f t="shared" si="23"/>
        <v>139</v>
      </c>
      <c r="E142" s="80">
        <f t="shared" si="20"/>
        <v>1704.3999999999999</v>
      </c>
      <c r="G142" s="86">
        <f t="shared" si="24"/>
        <v>139</v>
      </c>
      <c r="H142" s="80">
        <f t="shared" si="21"/>
        <v>2499.1</v>
      </c>
      <c r="I142" s="28"/>
      <c r="J142" s="86">
        <f t="shared" si="25"/>
        <v>139</v>
      </c>
      <c r="K142" s="80">
        <f t="shared" si="22"/>
        <v>2747.8</v>
      </c>
      <c r="M142" s="4">
        <v>139</v>
      </c>
      <c r="N142" s="5">
        <f t="shared" si="26"/>
        <v>465.1</v>
      </c>
    </row>
    <row r="143" spans="1:14" ht="16.5">
      <c r="A143" s="86">
        <f t="shared" si="18"/>
        <v>140</v>
      </c>
      <c r="B143" s="80">
        <f t="shared" si="19"/>
        <v>1716</v>
      </c>
      <c r="C143" s="249"/>
      <c r="D143" s="86">
        <f t="shared" si="23"/>
        <v>140</v>
      </c>
      <c r="E143" s="80">
        <f t="shared" si="20"/>
        <v>1716</v>
      </c>
      <c r="G143" s="86">
        <f t="shared" si="24"/>
        <v>140</v>
      </c>
      <c r="H143" s="80">
        <f t="shared" si="21"/>
        <v>2516.1</v>
      </c>
      <c r="I143" s="28"/>
      <c r="J143" s="86">
        <f t="shared" si="25"/>
        <v>140</v>
      </c>
      <c r="K143" s="80">
        <f t="shared" si="22"/>
        <v>2766.5</v>
      </c>
      <c r="M143" s="4">
        <v>140</v>
      </c>
      <c r="N143" s="5">
        <f t="shared" si="26"/>
        <v>468.1</v>
      </c>
    </row>
    <row r="144" spans="1:14" ht="16.5">
      <c r="A144" s="86">
        <f t="shared" si="18"/>
        <v>141</v>
      </c>
      <c r="B144" s="80">
        <f t="shared" si="19"/>
        <v>1727.6</v>
      </c>
      <c r="C144" s="249"/>
      <c r="D144" s="86">
        <f t="shared" si="23"/>
        <v>141</v>
      </c>
      <c r="E144" s="80">
        <f t="shared" si="20"/>
        <v>1727.6</v>
      </c>
      <c r="G144" s="86">
        <f t="shared" si="24"/>
        <v>141</v>
      </c>
      <c r="H144" s="80">
        <f t="shared" si="21"/>
        <v>2533.1</v>
      </c>
      <c r="I144" s="28"/>
      <c r="J144" s="86">
        <f t="shared" si="25"/>
        <v>141</v>
      </c>
      <c r="K144" s="80">
        <f t="shared" si="22"/>
        <v>2785.2</v>
      </c>
      <c r="M144" s="4">
        <v>141</v>
      </c>
      <c r="N144" s="5">
        <f t="shared" si="26"/>
        <v>471.1</v>
      </c>
    </row>
    <row r="145" spans="1:14" ht="16.5">
      <c r="A145" s="86">
        <f t="shared" si="18"/>
        <v>142</v>
      </c>
      <c r="B145" s="80">
        <f t="shared" si="19"/>
        <v>1739.2</v>
      </c>
      <c r="C145" s="249"/>
      <c r="D145" s="86">
        <f t="shared" si="23"/>
        <v>142</v>
      </c>
      <c r="E145" s="80">
        <f t="shared" si="20"/>
        <v>1739.2</v>
      </c>
      <c r="G145" s="86">
        <f t="shared" si="24"/>
        <v>142</v>
      </c>
      <c r="H145" s="80">
        <f t="shared" si="21"/>
        <v>2550.1</v>
      </c>
      <c r="I145" s="28"/>
      <c r="J145" s="86">
        <f t="shared" si="25"/>
        <v>142</v>
      </c>
      <c r="K145" s="80">
        <f t="shared" si="22"/>
        <v>2803.9</v>
      </c>
      <c r="M145" s="4">
        <v>142</v>
      </c>
      <c r="N145" s="5">
        <f t="shared" si="26"/>
        <v>474.1</v>
      </c>
    </row>
    <row r="146" spans="1:14" ht="16.5">
      <c r="A146" s="86">
        <f t="shared" si="18"/>
        <v>143</v>
      </c>
      <c r="B146" s="80">
        <f t="shared" si="19"/>
        <v>1750.8</v>
      </c>
      <c r="C146" s="249"/>
      <c r="D146" s="86">
        <f t="shared" si="23"/>
        <v>143</v>
      </c>
      <c r="E146" s="80">
        <f t="shared" si="20"/>
        <v>1750.8</v>
      </c>
      <c r="G146" s="86">
        <f t="shared" si="24"/>
        <v>143</v>
      </c>
      <c r="H146" s="80">
        <f t="shared" si="21"/>
        <v>2567.1</v>
      </c>
      <c r="I146" s="28"/>
      <c r="J146" s="86">
        <f t="shared" si="25"/>
        <v>143</v>
      </c>
      <c r="K146" s="80">
        <f t="shared" si="22"/>
        <v>2822.6</v>
      </c>
      <c r="M146" s="4">
        <v>143</v>
      </c>
      <c r="N146" s="5">
        <f t="shared" si="26"/>
        <v>477.1</v>
      </c>
    </row>
    <row r="147" spans="1:14" ht="16.5">
      <c r="A147" s="86">
        <f t="shared" si="18"/>
        <v>144</v>
      </c>
      <c r="B147" s="80">
        <f t="shared" si="19"/>
        <v>1762.3999999999999</v>
      </c>
      <c r="C147" s="249"/>
      <c r="D147" s="86">
        <f t="shared" si="23"/>
        <v>144</v>
      </c>
      <c r="E147" s="80">
        <f t="shared" si="20"/>
        <v>1762.3999999999999</v>
      </c>
      <c r="G147" s="86">
        <f t="shared" si="24"/>
        <v>144</v>
      </c>
      <c r="H147" s="80">
        <f t="shared" si="21"/>
        <v>2584.1</v>
      </c>
      <c r="I147" s="28"/>
      <c r="J147" s="86">
        <f t="shared" si="25"/>
        <v>144</v>
      </c>
      <c r="K147" s="80">
        <f t="shared" si="22"/>
        <v>2841.2999999999997</v>
      </c>
      <c r="M147" s="4">
        <v>144</v>
      </c>
      <c r="N147" s="5">
        <f t="shared" si="26"/>
        <v>480.1</v>
      </c>
    </row>
    <row r="148" spans="1:14" ht="16.5">
      <c r="A148" s="86">
        <f t="shared" si="18"/>
        <v>145</v>
      </c>
      <c r="B148" s="80">
        <f t="shared" si="19"/>
        <v>1774</v>
      </c>
      <c r="C148" s="249"/>
      <c r="D148" s="86">
        <f t="shared" si="23"/>
        <v>145</v>
      </c>
      <c r="E148" s="80">
        <f t="shared" si="20"/>
        <v>1774</v>
      </c>
      <c r="G148" s="86">
        <f t="shared" si="24"/>
        <v>145</v>
      </c>
      <c r="H148" s="80">
        <f t="shared" si="21"/>
        <v>2601.1</v>
      </c>
      <c r="I148" s="28"/>
      <c r="J148" s="86">
        <f t="shared" si="25"/>
        <v>145</v>
      </c>
      <c r="K148" s="80">
        <f t="shared" si="22"/>
        <v>2860</v>
      </c>
      <c r="M148" s="4">
        <v>145</v>
      </c>
      <c r="N148" s="5">
        <f t="shared" si="26"/>
        <v>483.1</v>
      </c>
    </row>
    <row r="149" spans="1:14" ht="16.5">
      <c r="A149" s="86">
        <f t="shared" si="18"/>
        <v>146</v>
      </c>
      <c r="B149" s="80">
        <f t="shared" si="19"/>
        <v>1785.6</v>
      </c>
      <c r="C149" s="249"/>
      <c r="D149" s="86">
        <f t="shared" si="23"/>
        <v>146</v>
      </c>
      <c r="E149" s="80">
        <f t="shared" si="20"/>
        <v>1785.6</v>
      </c>
      <c r="G149" s="86">
        <f t="shared" si="24"/>
        <v>146</v>
      </c>
      <c r="H149" s="80">
        <f t="shared" si="21"/>
        <v>2618.1</v>
      </c>
      <c r="I149" s="28"/>
      <c r="J149" s="86">
        <f t="shared" si="25"/>
        <v>146</v>
      </c>
      <c r="K149" s="80">
        <f t="shared" si="22"/>
        <v>2878.7</v>
      </c>
      <c r="M149" s="4">
        <v>146</v>
      </c>
      <c r="N149" s="5">
        <f t="shared" si="26"/>
        <v>486.1</v>
      </c>
    </row>
    <row r="150" spans="1:14" ht="16.5">
      <c r="A150" s="86">
        <f t="shared" si="18"/>
        <v>147</v>
      </c>
      <c r="B150" s="80">
        <f t="shared" si="19"/>
        <v>1797.2</v>
      </c>
      <c r="C150" s="249"/>
      <c r="D150" s="86">
        <f t="shared" si="23"/>
        <v>147</v>
      </c>
      <c r="E150" s="80">
        <f t="shared" si="20"/>
        <v>1797.2</v>
      </c>
      <c r="G150" s="86">
        <f t="shared" si="24"/>
        <v>147</v>
      </c>
      <c r="H150" s="80">
        <f t="shared" si="21"/>
        <v>2635.1</v>
      </c>
      <c r="I150" s="28"/>
      <c r="J150" s="86">
        <f t="shared" si="25"/>
        <v>147</v>
      </c>
      <c r="K150" s="80">
        <f t="shared" si="22"/>
        <v>2897.4</v>
      </c>
      <c r="M150" s="4">
        <v>147</v>
      </c>
      <c r="N150" s="5">
        <f t="shared" si="26"/>
        <v>489.1</v>
      </c>
    </row>
    <row r="151" spans="1:14" ht="16.5">
      <c r="A151" s="86">
        <f t="shared" si="18"/>
        <v>148</v>
      </c>
      <c r="B151" s="80">
        <f t="shared" si="19"/>
        <v>1808.8</v>
      </c>
      <c r="C151" s="249"/>
      <c r="D151" s="86">
        <f t="shared" si="23"/>
        <v>148</v>
      </c>
      <c r="E151" s="80">
        <f t="shared" si="20"/>
        <v>1808.8</v>
      </c>
      <c r="G151" s="86">
        <f t="shared" si="24"/>
        <v>148</v>
      </c>
      <c r="H151" s="80">
        <f t="shared" si="21"/>
        <v>2652.1</v>
      </c>
      <c r="I151" s="28"/>
      <c r="J151" s="86">
        <f t="shared" si="25"/>
        <v>148</v>
      </c>
      <c r="K151" s="80">
        <f t="shared" si="22"/>
        <v>2916.1</v>
      </c>
      <c r="M151" s="4">
        <v>148</v>
      </c>
      <c r="N151" s="5">
        <f t="shared" si="26"/>
        <v>492.1</v>
      </c>
    </row>
    <row r="152" spans="1:14" ht="16.5">
      <c r="A152" s="86">
        <f t="shared" si="18"/>
        <v>149</v>
      </c>
      <c r="B152" s="80">
        <f t="shared" si="19"/>
        <v>1820.3999999999999</v>
      </c>
      <c r="C152" s="249"/>
      <c r="D152" s="86">
        <f t="shared" si="23"/>
        <v>149</v>
      </c>
      <c r="E152" s="80">
        <f t="shared" si="20"/>
        <v>1820.3999999999999</v>
      </c>
      <c r="G152" s="86">
        <f t="shared" si="24"/>
        <v>149</v>
      </c>
      <c r="H152" s="80">
        <f t="shared" si="21"/>
        <v>2669.1</v>
      </c>
      <c r="I152" s="28"/>
      <c r="J152" s="86">
        <f t="shared" si="25"/>
        <v>149</v>
      </c>
      <c r="K152" s="80">
        <f t="shared" si="22"/>
        <v>2934.7999999999997</v>
      </c>
      <c r="M152" s="4">
        <v>149</v>
      </c>
      <c r="N152" s="5">
        <f t="shared" si="26"/>
        <v>495.1</v>
      </c>
    </row>
    <row r="153" spans="1:14" ht="16.5">
      <c r="A153" s="86">
        <f t="shared" si="18"/>
        <v>150</v>
      </c>
      <c r="B153" s="80">
        <f t="shared" si="19"/>
        <v>1832</v>
      </c>
      <c r="C153" s="249"/>
      <c r="D153" s="86">
        <f t="shared" si="23"/>
        <v>150</v>
      </c>
      <c r="E153" s="80">
        <f t="shared" si="20"/>
        <v>1832</v>
      </c>
      <c r="G153" s="86">
        <f t="shared" si="24"/>
        <v>150</v>
      </c>
      <c r="H153" s="80">
        <f t="shared" si="21"/>
        <v>2686.1</v>
      </c>
      <c r="I153" s="28"/>
      <c r="J153" s="86">
        <f t="shared" si="25"/>
        <v>150</v>
      </c>
      <c r="K153" s="80">
        <f t="shared" si="22"/>
        <v>2953.5</v>
      </c>
      <c r="M153" s="4">
        <v>150</v>
      </c>
      <c r="N153" s="5">
        <f t="shared" si="26"/>
        <v>498.1</v>
      </c>
    </row>
    <row r="154" spans="1:14" ht="16.5">
      <c r="A154" s="86">
        <f t="shared" si="18"/>
        <v>151</v>
      </c>
      <c r="B154" s="80">
        <f t="shared" si="19"/>
        <v>1843.6</v>
      </c>
      <c r="C154" s="249"/>
      <c r="D154" s="86">
        <f t="shared" si="23"/>
        <v>151</v>
      </c>
      <c r="E154" s="80">
        <f t="shared" si="20"/>
        <v>1843.6</v>
      </c>
      <c r="G154" s="86">
        <f t="shared" si="24"/>
        <v>151</v>
      </c>
      <c r="H154" s="80">
        <f t="shared" si="21"/>
        <v>2703.1</v>
      </c>
      <c r="I154" s="28"/>
      <c r="J154" s="86">
        <f t="shared" si="25"/>
        <v>151</v>
      </c>
      <c r="K154" s="80">
        <f t="shared" si="22"/>
        <v>2972.2</v>
      </c>
      <c r="M154" s="4">
        <v>151</v>
      </c>
      <c r="N154" s="5">
        <f t="shared" si="26"/>
        <v>501.1</v>
      </c>
    </row>
    <row r="155" spans="1:14" ht="16.5">
      <c r="A155" s="86">
        <f t="shared" si="18"/>
        <v>152</v>
      </c>
      <c r="B155" s="80">
        <f t="shared" si="19"/>
        <v>1855.2</v>
      </c>
      <c r="C155" s="249"/>
      <c r="D155" s="86">
        <f t="shared" si="23"/>
        <v>152</v>
      </c>
      <c r="E155" s="80">
        <f t="shared" si="20"/>
        <v>1855.2</v>
      </c>
      <c r="G155" s="86">
        <f t="shared" si="24"/>
        <v>152</v>
      </c>
      <c r="H155" s="80">
        <f t="shared" si="21"/>
        <v>2720.1</v>
      </c>
      <c r="I155" s="28"/>
      <c r="J155" s="86">
        <f t="shared" si="25"/>
        <v>152</v>
      </c>
      <c r="K155" s="80">
        <f t="shared" si="22"/>
        <v>2990.9</v>
      </c>
      <c r="M155" s="4">
        <v>152</v>
      </c>
      <c r="N155" s="5">
        <f t="shared" si="26"/>
        <v>504.1</v>
      </c>
    </row>
    <row r="156" spans="1:14" ht="16.5">
      <c r="A156" s="86">
        <f t="shared" si="18"/>
        <v>153</v>
      </c>
      <c r="B156" s="80">
        <f t="shared" si="19"/>
        <v>1866.8</v>
      </c>
      <c r="C156" s="249"/>
      <c r="D156" s="86">
        <f t="shared" si="23"/>
        <v>153</v>
      </c>
      <c r="E156" s="80">
        <f t="shared" si="20"/>
        <v>1866.8</v>
      </c>
      <c r="G156" s="86">
        <f t="shared" si="24"/>
        <v>153</v>
      </c>
      <c r="H156" s="80">
        <f t="shared" si="21"/>
        <v>2737.1</v>
      </c>
      <c r="I156" s="28"/>
      <c r="J156" s="86">
        <f t="shared" si="25"/>
        <v>153</v>
      </c>
      <c r="K156" s="80">
        <f t="shared" si="22"/>
        <v>3009.6</v>
      </c>
      <c r="M156" s="4">
        <v>153</v>
      </c>
      <c r="N156" s="5">
        <f t="shared" si="26"/>
        <v>507.1</v>
      </c>
    </row>
    <row r="157" spans="1:14" ht="16.5">
      <c r="A157" s="86">
        <f t="shared" si="18"/>
        <v>154</v>
      </c>
      <c r="B157" s="80">
        <f t="shared" si="19"/>
        <v>1878.3999999999999</v>
      </c>
      <c r="C157" s="249"/>
      <c r="D157" s="86">
        <f t="shared" si="23"/>
        <v>154</v>
      </c>
      <c r="E157" s="80">
        <f t="shared" si="20"/>
        <v>1878.3999999999999</v>
      </c>
      <c r="G157" s="86">
        <f t="shared" si="24"/>
        <v>154</v>
      </c>
      <c r="H157" s="80">
        <f t="shared" si="21"/>
        <v>2754.1</v>
      </c>
      <c r="I157" s="28"/>
      <c r="J157" s="86">
        <f t="shared" si="25"/>
        <v>154</v>
      </c>
      <c r="K157" s="80">
        <f t="shared" si="22"/>
        <v>3028.2999999999997</v>
      </c>
      <c r="M157" s="4">
        <v>154</v>
      </c>
      <c r="N157" s="5">
        <f t="shared" si="26"/>
        <v>510.1</v>
      </c>
    </row>
    <row r="158" spans="1:14" ht="16.5">
      <c r="A158" s="86">
        <f t="shared" si="18"/>
        <v>155</v>
      </c>
      <c r="B158" s="80">
        <f t="shared" si="19"/>
        <v>1890</v>
      </c>
      <c r="C158" s="249"/>
      <c r="D158" s="86">
        <f t="shared" si="23"/>
        <v>155</v>
      </c>
      <c r="E158" s="80">
        <f t="shared" si="20"/>
        <v>1890</v>
      </c>
      <c r="G158" s="86">
        <f t="shared" si="24"/>
        <v>155</v>
      </c>
      <c r="H158" s="80">
        <f t="shared" si="21"/>
        <v>2771.1</v>
      </c>
      <c r="I158" s="28"/>
      <c r="J158" s="86">
        <f t="shared" si="25"/>
        <v>155</v>
      </c>
      <c r="K158" s="80">
        <f t="shared" si="22"/>
        <v>3047</v>
      </c>
      <c r="M158" s="4">
        <v>155</v>
      </c>
      <c r="N158" s="5">
        <f t="shared" si="26"/>
        <v>513.1</v>
      </c>
    </row>
    <row r="159" spans="1:14" ht="16.5">
      <c r="A159" s="86">
        <f t="shared" si="18"/>
        <v>156</v>
      </c>
      <c r="B159" s="80">
        <f t="shared" si="19"/>
        <v>1901.6</v>
      </c>
      <c r="C159" s="249"/>
      <c r="D159" s="86">
        <f t="shared" si="23"/>
        <v>156</v>
      </c>
      <c r="E159" s="80">
        <f t="shared" si="20"/>
        <v>1901.6</v>
      </c>
      <c r="G159" s="86">
        <f t="shared" si="24"/>
        <v>156</v>
      </c>
      <c r="H159" s="80">
        <f t="shared" si="21"/>
        <v>2788.1</v>
      </c>
      <c r="I159" s="28"/>
      <c r="J159" s="86">
        <f t="shared" si="25"/>
        <v>156</v>
      </c>
      <c r="K159" s="80">
        <f t="shared" si="22"/>
        <v>3065.7</v>
      </c>
      <c r="M159" s="4">
        <v>156</v>
      </c>
      <c r="N159" s="5">
        <f t="shared" si="26"/>
        <v>516.1</v>
      </c>
    </row>
    <row r="160" spans="1:14" ht="16.5">
      <c r="A160" s="86">
        <f t="shared" si="18"/>
        <v>157</v>
      </c>
      <c r="B160" s="80">
        <f t="shared" si="19"/>
        <v>1913.2</v>
      </c>
      <c r="C160" s="249"/>
      <c r="D160" s="86">
        <f t="shared" si="23"/>
        <v>157</v>
      </c>
      <c r="E160" s="80">
        <f t="shared" si="20"/>
        <v>1913.2</v>
      </c>
      <c r="G160" s="86">
        <f t="shared" si="24"/>
        <v>157</v>
      </c>
      <c r="H160" s="80">
        <f t="shared" si="21"/>
        <v>2805.1</v>
      </c>
      <c r="I160" s="28"/>
      <c r="J160" s="86">
        <f t="shared" si="25"/>
        <v>157</v>
      </c>
      <c r="K160" s="80">
        <f t="shared" si="22"/>
        <v>3084.4</v>
      </c>
      <c r="M160" s="4">
        <v>157</v>
      </c>
      <c r="N160" s="5">
        <f t="shared" si="26"/>
        <v>519.1</v>
      </c>
    </row>
    <row r="161" spans="1:14" ht="16.5">
      <c r="A161" s="86">
        <f t="shared" si="18"/>
        <v>158</v>
      </c>
      <c r="B161" s="80">
        <f t="shared" si="19"/>
        <v>1924.8</v>
      </c>
      <c r="C161" s="249"/>
      <c r="D161" s="86">
        <f t="shared" si="23"/>
        <v>158</v>
      </c>
      <c r="E161" s="80">
        <f t="shared" si="20"/>
        <v>1924.8</v>
      </c>
      <c r="G161" s="86">
        <f t="shared" si="24"/>
        <v>158</v>
      </c>
      <c r="H161" s="80">
        <f t="shared" si="21"/>
        <v>2822.1</v>
      </c>
      <c r="I161" s="28"/>
      <c r="J161" s="86">
        <f t="shared" si="25"/>
        <v>158</v>
      </c>
      <c r="K161" s="80">
        <f t="shared" si="22"/>
        <v>3103.1</v>
      </c>
      <c r="M161" s="4">
        <v>158</v>
      </c>
      <c r="N161" s="5">
        <f t="shared" si="26"/>
        <v>522.1</v>
      </c>
    </row>
    <row r="162" spans="1:14" ht="16.5">
      <c r="A162" s="86">
        <f t="shared" si="18"/>
        <v>159</v>
      </c>
      <c r="B162" s="80">
        <f t="shared" si="19"/>
        <v>1936.3999999999999</v>
      </c>
      <c r="C162" s="249"/>
      <c r="D162" s="86">
        <f t="shared" si="23"/>
        <v>159</v>
      </c>
      <c r="E162" s="80">
        <f t="shared" si="20"/>
        <v>1936.3999999999999</v>
      </c>
      <c r="G162" s="86">
        <f t="shared" si="24"/>
        <v>159</v>
      </c>
      <c r="H162" s="80">
        <f t="shared" si="21"/>
        <v>2839.1</v>
      </c>
      <c r="I162" s="28"/>
      <c r="J162" s="86">
        <f t="shared" si="25"/>
        <v>159</v>
      </c>
      <c r="K162" s="80">
        <f t="shared" si="22"/>
        <v>3121.7999999999997</v>
      </c>
      <c r="M162" s="4">
        <v>159</v>
      </c>
      <c r="N162" s="5">
        <f t="shared" si="26"/>
        <v>525.1</v>
      </c>
    </row>
    <row r="163" spans="1:14" ht="16.5">
      <c r="A163" s="86">
        <f t="shared" ref="A163:A226" si="27">A162+1</f>
        <v>160</v>
      </c>
      <c r="B163" s="80">
        <f t="shared" ref="B163:B226" si="28">$B$33+(A163-$A$33)*$Q$11</f>
        <v>1948</v>
      </c>
      <c r="C163" s="249"/>
      <c r="D163" s="86">
        <f t="shared" si="23"/>
        <v>160</v>
      </c>
      <c r="E163" s="80">
        <f t="shared" ref="E163:E226" si="29">$E$33+(A163-$A$33)*$Q$6</f>
        <v>1948</v>
      </c>
      <c r="G163" s="86">
        <f t="shared" si="24"/>
        <v>160</v>
      </c>
      <c r="H163" s="80">
        <f t="shared" ref="H163:H226" si="30">$H$33+(A163-$A$33)*$Q$16</f>
        <v>2856.1</v>
      </c>
      <c r="I163" s="28"/>
      <c r="J163" s="86">
        <f t="shared" si="25"/>
        <v>160</v>
      </c>
      <c r="K163" s="80">
        <f t="shared" ref="K163:K226" si="31">$K$33+(A163-$A$33)*$Q$21</f>
        <v>3140.5</v>
      </c>
      <c r="M163" s="4">
        <v>160</v>
      </c>
      <c r="N163" s="5">
        <f t="shared" si="26"/>
        <v>528.1</v>
      </c>
    </row>
    <row r="164" spans="1:14" ht="16.5">
      <c r="A164" s="86">
        <f t="shared" si="27"/>
        <v>161</v>
      </c>
      <c r="B164" s="80">
        <f t="shared" si="28"/>
        <v>1959.6</v>
      </c>
      <c r="C164" s="249"/>
      <c r="D164" s="86">
        <f t="shared" si="23"/>
        <v>161</v>
      </c>
      <c r="E164" s="80">
        <f t="shared" si="29"/>
        <v>1959.6</v>
      </c>
      <c r="G164" s="86">
        <f t="shared" si="24"/>
        <v>161</v>
      </c>
      <c r="H164" s="80">
        <f t="shared" si="30"/>
        <v>2873.1</v>
      </c>
      <c r="I164" s="28"/>
      <c r="J164" s="86">
        <f t="shared" si="25"/>
        <v>161</v>
      </c>
      <c r="K164" s="80">
        <f t="shared" si="31"/>
        <v>3159.2</v>
      </c>
      <c r="M164" s="4">
        <v>161</v>
      </c>
      <c r="N164" s="5">
        <f t="shared" si="26"/>
        <v>531.1</v>
      </c>
    </row>
    <row r="165" spans="1:14" ht="16.5">
      <c r="A165" s="86">
        <f t="shared" si="27"/>
        <v>162</v>
      </c>
      <c r="B165" s="80">
        <f t="shared" si="28"/>
        <v>1971.2</v>
      </c>
      <c r="C165" s="249"/>
      <c r="D165" s="86">
        <f t="shared" si="23"/>
        <v>162</v>
      </c>
      <c r="E165" s="80">
        <f t="shared" si="29"/>
        <v>1971.2</v>
      </c>
      <c r="G165" s="86">
        <f t="shared" si="24"/>
        <v>162</v>
      </c>
      <c r="H165" s="80">
        <f t="shared" si="30"/>
        <v>2890.1</v>
      </c>
      <c r="I165" s="28"/>
      <c r="J165" s="86">
        <f t="shared" si="25"/>
        <v>162</v>
      </c>
      <c r="K165" s="80">
        <f t="shared" si="31"/>
        <v>3177.9</v>
      </c>
      <c r="M165" s="4">
        <v>162</v>
      </c>
      <c r="N165" s="5">
        <f t="shared" si="26"/>
        <v>534.1</v>
      </c>
    </row>
    <row r="166" spans="1:14" ht="16.5">
      <c r="A166" s="86">
        <f t="shared" si="27"/>
        <v>163</v>
      </c>
      <c r="B166" s="80">
        <f t="shared" si="28"/>
        <v>1982.8</v>
      </c>
      <c r="C166" s="249"/>
      <c r="D166" s="86">
        <f t="shared" si="23"/>
        <v>163</v>
      </c>
      <c r="E166" s="80">
        <f t="shared" si="29"/>
        <v>1982.8</v>
      </c>
      <c r="G166" s="86">
        <f t="shared" si="24"/>
        <v>163</v>
      </c>
      <c r="H166" s="80">
        <f t="shared" si="30"/>
        <v>2907.1</v>
      </c>
      <c r="I166" s="28"/>
      <c r="J166" s="86">
        <f t="shared" si="25"/>
        <v>163</v>
      </c>
      <c r="K166" s="80">
        <f t="shared" si="31"/>
        <v>3196.6</v>
      </c>
      <c r="M166" s="4">
        <v>163</v>
      </c>
      <c r="N166" s="5">
        <f t="shared" si="26"/>
        <v>537.1</v>
      </c>
    </row>
    <row r="167" spans="1:14" ht="16.5">
      <c r="A167" s="86">
        <f t="shared" si="27"/>
        <v>164</v>
      </c>
      <c r="B167" s="80">
        <f t="shared" si="28"/>
        <v>1994.3999999999999</v>
      </c>
      <c r="C167" s="249"/>
      <c r="D167" s="86">
        <f t="shared" si="23"/>
        <v>164</v>
      </c>
      <c r="E167" s="80">
        <f t="shared" si="29"/>
        <v>1994.3999999999999</v>
      </c>
      <c r="G167" s="86">
        <f t="shared" si="24"/>
        <v>164</v>
      </c>
      <c r="H167" s="80">
        <f t="shared" si="30"/>
        <v>2924.1</v>
      </c>
      <c r="I167" s="28"/>
      <c r="J167" s="86">
        <f t="shared" si="25"/>
        <v>164</v>
      </c>
      <c r="K167" s="80">
        <f t="shared" si="31"/>
        <v>3215.2999999999997</v>
      </c>
      <c r="M167" s="4">
        <v>164</v>
      </c>
      <c r="N167" s="5">
        <f t="shared" si="26"/>
        <v>540.1</v>
      </c>
    </row>
    <row r="168" spans="1:14" ht="16.5">
      <c r="A168" s="86">
        <f t="shared" si="27"/>
        <v>165</v>
      </c>
      <c r="B168" s="80">
        <f t="shared" si="28"/>
        <v>2006</v>
      </c>
      <c r="C168" s="249"/>
      <c r="D168" s="86">
        <f t="shared" si="23"/>
        <v>165</v>
      </c>
      <c r="E168" s="80">
        <f t="shared" si="29"/>
        <v>2006</v>
      </c>
      <c r="G168" s="86">
        <f t="shared" si="24"/>
        <v>165</v>
      </c>
      <c r="H168" s="80">
        <f t="shared" si="30"/>
        <v>2941.1</v>
      </c>
      <c r="I168" s="28"/>
      <c r="J168" s="86">
        <f t="shared" si="25"/>
        <v>165</v>
      </c>
      <c r="K168" s="80">
        <f t="shared" si="31"/>
        <v>3234</v>
      </c>
      <c r="M168" s="4">
        <v>165</v>
      </c>
      <c r="N168" s="5">
        <f t="shared" si="26"/>
        <v>543.1</v>
      </c>
    </row>
    <row r="169" spans="1:14" ht="16.5">
      <c r="A169" s="86">
        <f t="shared" si="27"/>
        <v>166</v>
      </c>
      <c r="B169" s="80">
        <f t="shared" si="28"/>
        <v>2017.6</v>
      </c>
      <c r="C169" s="249"/>
      <c r="D169" s="86">
        <f t="shared" si="23"/>
        <v>166</v>
      </c>
      <c r="E169" s="80">
        <f t="shared" si="29"/>
        <v>2017.6</v>
      </c>
      <c r="G169" s="86">
        <f t="shared" si="24"/>
        <v>166</v>
      </c>
      <c r="H169" s="80">
        <f t="shared" si="30"/>
        <v>2958.1</v>
      </c>
      <c r="I169" s="28"/>
      <c r="J169" s="86">
        <f t="shared" si="25"/>
        <v>166</v>
      </c>
      <c r="K169" s="80">
        <f t="shared" si="31"/>
        <v>3252.7</v>
      </c>
      <c r="M169" s="4">
        <v>166</v>
      </c>
      <c r="N169" s="5">
        <f t="shared" si="26"/>
        <v>546.1</v>
      </c>
    </row>
    <row r="170" spans="1:14" ht="16.5">
      <c r="A170" s="86">
        <f t="shared" si="27"/>
        <v>167</v>
      </c>
      <c r="B170" s="80">
        <f t="shared" si="28"/>
        <v>2029.2</v>
      </c>
      <c r="C170" s="249"/>
      <c r="D170" s="86">
        <f t="shared" si="23"/>
        <v>167</v>
      </c>
      <c r="E170" s="80">
        <f t="shared" si="29"/>
        <v>2029.2</v>
      </c>
      <c r="G170" s="86">
        <f t="shared" si="24"/>
        <v>167</v>
      </c>
      <c r="H170" s="80">
        <f t="shared" si="30"/>
        <v>2975.1</v>
      </c>
      <c r="I170" s="28"/>
      <c r="J170" s="86">
        <f t="shared" si="25"/>
        <v>167</v>
      </c>
      <c r="K170" s="80">
        <f t="shared" si="31"/>
        <v>3271.4</v>
      </c>
      <c r="M170" s="4">
        <v>167</v>
      </c>
      <c r="N170" s="5">
        <f t="shared" si="26"/>
        <v>549.1</v>
      </c>
    </row>
    <row r="171" spans="1:14" ht="16.5">
      <c r="A171" s="86">
        <f t="shared" si="27"/>
        <v>168</v>
      </c>
      <c r="B171" s="80">
        <f t="shared" si="28"/>
        <v>2040.8</v>
      </c>
      <c r="C171" s="249"/>
      <c r="D171" s="86">
        <f t="shared" si="23"/>
        <v>168</v>
      </c>
      <c r="E171" s="80">
        <f t="shared" si="29"/>
        <v>2040.8</v>
      </c>
      <c r="G171" s="86">
        <f t="shared" si="24"/>
        <v>168</v>
      </c>
      <c r="H171" s="80">
        <f t="shared" si="30"/>
        <v>2992.1</v>
      </c>
      <c r="I171" s="28"/>
      <c r="J171" s="86">
        <f t="shared" si="25"/>
        <v>168</v>
      </c>
      <c r="K171" s="80">
        <f t="shared" si="31"/>
        <v>3290.1</v>
      </c>
      <c r="M171" s="4">
        <v>168</v>
      </c>
      <c r="N171" s="5">
        <f t="shared" si="26"/>
        <v>552.1</v>
      </c>
    </row>
    <row r="172" spans="1:14" ht="16.5">
      <c r="A172" s="86">
        <f t="shared" si="27"/>
        <v>169</v>
      </c>
      <c r="B172" s="80">
        <f t="shared" si="28"/>
        <v>2052.3999999999996</v>
      </c>
      <c r="C172" s="249"/>
      <c r="D172" s="86">
        <f t="shared" si="23"/>
        <v>169</v>
      </c>
      <c r="E172" s="80">
        <f t="shared" si="29"/>
        <v>2052.3999999999996</v>
      </c>
      <c r="G172" s="86">
        <f t="shared" si="24"/>
        <v>169</v>
      </c>
      <c r="H172" s="80">
        <f t="shared" si="30"/>
        <v>3009.1</v>
      </c>
      <c r="I172" s="28"/>
      <c r="J172" s="86">
        <f t="shared" si="25"/>
        <v>169</v>
      </c>
      <c r="K172" s="80">
        <f t="shared" si="31"/>
        <v>3308.7999999999997</v>
      </c>
      <c r="M172" s="4">
        <v>169</v>
      </c>
      <c r="N172" s="5">
        <f t="shared" si="26"/>
        <v>555.1</v>
      </c>
    </row>
    <row r="173" spans="1:14" ht="16.5">
      <c r="A173" s="86">
        <f t="shared" si="27"/>
        <v>170</v>
      </c>
      <c r="B173" s="80">
        <f t="shared" si="28"/>
        <v>2064</v>
      </c>
      <c r="C173" s="249"/>
      <c r="D173" s="86">
        <f t="shared" si="23"/>
        <v>170</v>
      </c>
      <c r="E173" s="80">
        <f t="shared" si="29"/>
        <v>2064</v>
      </c>
      <c r="G173" s="86">
        <f t="shared" si="24"/>
        <v>170</v>
      </c>
      <c r="H173" s="80">
        <f t="shared" si="30"/>
        <v>3026.1</v>
      </c>
      <c r="I173" s="28"/>
      <c r="J173" s="86">
        <f t="shared" si="25"/>
        <v>170</v>
      </c>
      <c r="K173" s="80">
        <f t="shared" si="31"/>
        <v>3327.5</v>
      </c>
      <c r="M173" s="4">
        <v>170</v>
      </c>
      <c r="N173" s="5">
        <f t="shared" si="26"/>
        <v>558.1</v>
      </c>
    </row>
    <row r="174" spans="1:14" ht="16.5">
      <c r="A174" s="86">
        <f t="shared" si="27"/>
        <v>171</v>
      </c>
      <c r="B174" s="80">
        <f t="shared" si="28"/>
        <v>2075.6</v>
      </c>
      <c r="C174" s="249"/>
      <c r="D174" s="86">
        <f t="shared" si="23"/>
        <v>171</v>
      </c>
      <c r="E174" s="80">
        <f t="shared" si="29"/>
        <v>2075.6</v>
      </c>
      <c r="G174" s="86">
        <f t="shared" si="24"/>
        <v>171</v>
      </c>
      <c r="H174" s="80">
        <f t="shared" si="30"/>
        <v>3043.1</v>
      </c>
      <c r="I174" s="28"/>
      <c r="J174" s="86">
        <f t="shared" si="25"/>
        <v>171</v>
      </c>
      <c r="K174" s="80">
        <f t="shared" si="31"/>
        <v>3346.2</v>
      </c>
      <c r="M174" s="4">
        <v>171</v>
      </c>
      <c r="N174" s="5">
        <f t="shared" si="26"/>
        <v>561.1</v>
      </c>
    </row>
    <row r="175" spans="1:14" ht="16.5">
      <c r="A175" s="86">
        <f t="shared" si="27"/>
        <v>172</v>
      </c>
      <c r="B175" s="80">
        <f t="shared" si="28"/>
        <v>2087.1999999999998</v>
      </c>
      <c r="C175" s="249"/>
      <c r="D175" s="86">
        <f t="shared" si="23"/>
        <v>172</v>
      </c>
      <c r="E175" s="80">
        <f t="shared" si="29"/>
        <v>2087.1999999999998</v>
      </c>
      <c r="G175" s="86">
        <f t="shared" si="24"/>
        <v>172</v>
      </c>
      <c r="H175" s="80">
        <f t="shared" si="30"/>
        <v>3060.1</v>
      </c>
      <c r="I175" s="28"/>
      <c r="J175" s="86">
        <f t="shared" si="25"/>
        <v>172</v>
      </c>
      <c r="K175" s="80">
        <f t="shared" si="31"/>
        <v>3364.9</v>
      </c>
      <c r="M175" s="4">
        <v>172</v>
      </c>
      <c r="N175" s="5">
        <f t="shared" si="26"/>
        <v>564.1</v>
      </c>
    </row>
    <row r="176" spans="1:14" ht="16.5">
      <c r="A176" s="86">
        <f t="shared" si="27"/>
        <v>173</v>
      </c>
      <c r="B176" s="80">
        <f t="shared" si="28"/>
        <v>2098.8000000000002</v>
      </c>
      <c r="C176" s="249"/>
      <c r="D176" s="86">
        <f t="shared" si="23"/>
        <v>173</v>
      </c>
      <c r="E176" s="80">
        <f t="shared" si="29"/>
        <v>2098.8000000000002</v>
      </c>
      <c r="G176" s="86">
        <f t="shared" si="24"/>
        <v>173</v>
      </c>
      <c r="H176" s="80">
        <f t="shared" si="30"/>
        <v>3077.1</v>
      </c>
      <c r="I176" s="28"/>
      <c r="J176" s="86">
        <f t="shared" si="25"/>
        <v>173</v>
      </c>
      <c r="K176" s="80">
        <f t="shared" si="31"/>
        <v>3383.6</v>
      </c>
      <c r="M176" s="4">
        <v>173</v>
      </c>
      <c r="N176" s="5">
        <f t="shared" si="26"/>
        <v>567.1</v>
      </c>
    </row>
    <row r="177" spans="1:14" ht="16.5">
      <c r="A177" s="86">
        <f t="shared" si="27"/>
        <v>174</v>
      </c>
      <c r="B177" s="80">
        <f t="shared" si="28"/>
        <v>2110.3999999999996</v>
      </c>
      <c r="C177" s="249"/>
      <c r="D177" s="86">
        <f t="shared" si="23"/>
        <v>174</v>
      </c>
      <c r="E177" s="80">
        <f t="shared" si="29"/>
        <v>2110.3999999999996</v>
      </c>
      <c r="G177" s="86">
        <f t="shared" si="24"/>
        <v>174</v>
      </c>
      <c r="H177" s="80">
        <f t="shared" si="30"/>
        <v>3094.1</v>
      </c>
      <c r="I177" s="28"/>
      <c r="J177" s="86">
        <f t="shared" si="25"/>
        <v>174</v>
      </c>
      <c r="K177" s="80">
        <f t="shared" si="31"/>
        <v>3402.2999999999997</v>
      </c>
      <c r="M177" s="4">
        <v>174</v>
      </c>
      <c r="N177" s="5">
        <f t="shared" si="26"/>
        <v>570.1</v>
      </c>
    </row>
    <row r="178" spans="1:14" ht="16.5">
      <c r="A178" s="86">
        <f t="shared" si="27"/>
        <v>175</v>
      </c>
      <c r="B178" s="80">
        <f t="shared" si="28"/>
        <v>2122</v>
      </c>
      <c r="C178" s="249"/>
      <c r="D178" s="86">
        <f t="shared" si="23"/>
        <v>175</v>
      </c>
      <c r="E178" s="80">
        <f t="shared" si="29"/>
        <v>2122</v>
      </c>
      <c r="G178" s="86">
        <f t="shared" si="24"/>
        <v>175</v>
      </c>
      <c r="H178" s="80">
        <f t="shared" si="30"/>
        <v>3111.1</v>
      </c>
      <c r="I178" s="28"/>
      <c r="J178" s="86">
        <f t="shared" si="25"/>
        <v>175</v>
      </c>
      <c r="K178" s="80">
        <f t="shared" si="31"/>
        <v>3421</v>
      </c>
      <c r="M178" s="4">
        <v>175</v>
      </c>
      <c r="N178" s="5">
        <f t="shared" si="26"/>
        <v>573.1</v>
      </c>
    </row>
    <row r="179" spans="1:14" ht="16.5">
      <c r="A179" s="86">
        <f t="shared" si="27"/>
        <v>176</v>
      </c>
      <c r="B179" s="80">
        <f t="shared" si="28"/>
        <v>2133.6</v>
      </c>
      <c r="C179" s="249"/>
      <c r="D179" s="86">
        <f t="shared" si="23"/>
        <v>176</v>
      </c>
      <c r="E179" s="80">
        <f t="shared" si="29"/>
        <v>2133.6</v>
      </c>
      <c r="G179" s="86">
        <f t="shared" si="24"/>
        <v>176</v>
      </c>
      <c r="H179" s="80">
        <f t="shared" si="30"/>
        <v>3128.1</v>
      </c>
      <c r="I179" s="28"/>
      <c r="J179" s="86">
        <f t="shared" si="25"/>
        <v>176</v>
      </c>
      <c r="K179" s="80">
        <f t="shared" si="31"/>
        <v>3439.7</v>
      </c>
      <c r="M179" s="4">
        <v>176</v>
      </c>
      <c r="N179" s="5">
        <f t="shared" si="26"/>
        <v>576.1</v>
      </c>
    </row>
    <row r="180" spans="1:14" ht="16.5">
      <c r="A180" s="86">
        <f t="shared" si="27"/>
        <v>177</v>
      </c>
      <c r="B180" s="80">
        <f t="shared" si="28"/>
        <v>2145.1999999999998</v>
      </c>
      <c r="C180" s="249"/>
      <c r="D180" s="86">
        <f t="shared" si="23"/>
        <v>177</v>
      </c>
      <c r="E180" s="80">
        <f t="shared" si="29"/>
        <v>2145.1999999999998</v>
      </c>
      <c r="G180" s="86">
        <f t="shared" si="24"/>
        <v>177</v>
      </c>
      <c r="H180" s="80">
        <f t="shared" si="30"/>
        <v>3145.1</v>
      </c>
      <c r="I180" s="28"/>
      <c r="J180" s="86">
        <f t="shared" si="25"/>
        <v>177</v>
      </c>
      <c r="K180" s="80">
        <f t="shared" si="31"/>
        <v>3458.4</v>
      </c>
      <c r="M180" s="4">
        <v>177</v>
      </c>
      <c r="N180" s="5">
        <f t="shared" si="26"/>
        <v>579.1</v>
      </c>
    </row>
    <row r="181" spans="1:14" ht="16.5">
      <c r="A181" s="86">
        <f t="shared" si="27"/>
        <v>178</v>
      </c>
      <c r="B181" s="80">
        <f t="shared" si="28"/>
        <v>2156.8000000000002</v>
      </c>
      <c r="C181" s="249"/>
      <c r="D181" s="86">
        <f t="shared" si="23"/>
        <v>178</v>
      </c>
      <c r="E181" s="80">
        <f t="shared" si="29"/>
        <v>2156.8000000000002</v>
      </c>
      <c r="G181" s="86">
        <f t="shared" si="24"/>
        <v>178</v>
      </c>
      <c r="H181" s="80">
        <f t="shared" si="30"/>
        <v>3162.1</v>
      </c>
      <c r="I181" s="28"/>
      <c r="J181" s="86">
        <f t="shared" si="25"/>
        <v>178</v>
      </c>
      <c r="K181" s="80">
        <f t="shared" si="31"/>
        <v>3477.1</v>
      </c>
      <c r="M181" s="4">
        <v>178</v>
      </c>
      <c r="N181" s="5">
        <f t="shared" si="26"/>
        <v>582.1</v>
      </c>
    </row>
    <row r="182" spans="1:14" ht="16.5">
      <c r="A182" s="86">
        <f t="shared" si="27"/>
        <v>179</v>
      </c>
      <c r="B182" s="80">
        <f t="shared" si="28"/>
        <v>2168.3999999999996</v>
      </c>
      <c r="C182" s="249"/>
      <c r="D182" s="86">
        <f t="shared" si="23"/>
        <v>179</v>
      </c>
      <c r="E182" s="80">
        <f t="shared" si="29"/>
        <v>2168.3999999999996</v>
      </c>
      <c r="G182" s="86">
        <f t="shared" si="24"/>
        <v>179</v>
      </c>
      <c r="H182" s="80">
        <f t="shared" si="30"/>
        <v>3179.1</v>
      </c>
      <c r="I182" s="28"/>
      <c r="J182" s="86">
        <f t="shared" si="25"/>
        <v>179</v>
      </c>
      <c r="K182" s="80">
        <f t="shared" si="31"/>
        <v>3495.7999999999997</v>
      </c>
      <c r="M182" s="4">
        <v>179</v>
      </c>
      <c r="N182" s="5">
        <f t="shared" si="26"/>
        <v>585.1</v>
      </c>
    </row>
    <row r="183" spans="1:14" ht="16.5">
      <c r="A183" s="86">
        <f t="shared" si="27"/>
        <v>180</v>
      </c>
      <c r="B183" s="80">
        <f t="shared" si="28"/>
        <v>2180</v>
      </c>
      <c r="C183" s="249"/>
      <c r="D183" s="86">
        <f t="shared" si="23"/>
        <v>180</v>
      </c>
      <c r="E183" s="80">
        <f t="shared" si="29"/>
        <v>2180</v>
      </c>
      <c r="G183" s="86">
        <f t="shared" si="24"/>
        <v>180</v>
      </c>
      <c r="H183" s="80">
        <f t="shared" si="30"/>
        <v>3196.1</v>
      </c>
      <c r="I183" s="28"/>
      <c r="J183" s="86">
        <f t="shared" si="25"/>
        <v>180</v>
      </c>
      <c r="K183" s="80">
        <f t="shared" si="31"/>
        <v>3514.5</v>
      </c>
      <c r="M183" s="4">
        <v>180</v>
      </c>
      <c r="N183" s="5">
        <f t="shared" si="26"/>
        <v>588.1</v>
      </c>
    </row>
    <row r="184" spans="1:14" ht="16.5">
      <c r="A184" s="86">
        <f t="shared" si="27"/>
        <v>181</v>
      </c>
      <c r="B184" s="80">
        <f t="shared" si="28"/>
        <v>2191.6</v>
      </c>
      <c r="C184" s="249"/>
      <c r="D184" s="86">
        <f t="shared" si="23"/>
        <v>181</v>
      </c>
      <c r="E184" s="80">
        <f t="shared" si="29"/>
        <v>2191.6</v>
      </c>
      <c r="G184" s="86">
        <f t="shared" si="24"/>
        <v>181</v>
      </c>
      <c r="H184" s="80">
        <f t="shared" si="30"/>
        <v>3213.1</v>
      </c>
      <c r="I184" s="28"/>
      <c r="J184" s="86">
        <f t="shared" si="25"/>
        <v>181</v>
      </c>
      <c r="K184" s="80">
        <f t="shared" si="31"/>
        <v>3533.2</v>
      </c>
      <c r="M184" s="4">
        <v>181</v>
      </c>
      <c r="N184" s="5">
        <f t="shared" si="26"/>
        <v>591.1</v>
      </c>
    </row>
    <row r="185" spans="1:14" ht="16.5">
      <c r="A185" s="86">
        <f t="shared" si="27"/>
        <v>182</v>
      </c>
      <c r="B185" s="80">
        <f t="shared" si="28"/>
        <v>2203.1999999999998</v>
      </c>
      <c r="C185" s="249"/>
      <c r="D185" s="86">
        <f t="shared" si="23"/>
        <v>182</v>
      </c>
      <c r="E185" s="80">
        <f t="shared" si="29"/>
        <v>2203.1999999999998</v>
      </c>
      <c r="G185" s="86">
        <f t="shared" si="24"/>
        <v>182</v>
      </c>
      <c r="H185" s="80">
        <f t="shared" si="30"/>
        <v>3230.1</v>
      </c>
      <c r="I185" s="28"/>
      <c r="J185" s="86">
        <f t="shared" si="25"/>
        <v>182</v>
      </c>
      <c r="K185" s="80">
        <f t="shared" si="31"/>
        <v>3551.9</v>
      </c>
      <c r="M185" s="4">
        <v>182</v>
      </c>
      <c r="N185" s="5">
        <f t="shared" si="26"/>
        <v>594.1</v>
      </c>
    </row>
    <row r="186" spans="1:14" ht="16.5">
      <c r="A186" s="86">
        <f t="shared" si="27"/>
        <v>183</v>
      </c>
      <c r="B186" s="80">
        <f t="shared" si="28"/>
        <v>2214.8000000000002</v>
      </c>
      <c r="C186" s="249"/>
      <c r="D186" s="86">
        <f t="shared" si="23"/>
        <v>183</v>
      </c>
      <c r="E186" s="80">
        <f t="shared" si="29"/>
        <v>2214.8000000000002</v>
      </c>
      <c r="G186" s="86">
        <f t="shared" si="24"/>
        <v>183</v>
      </c>
      <c r="H186" s="80">
        <f t="shared" si="30"/>
        <v>3247.1</v>
      </c>
      <c r="I186" s="28"/>
      <c r="J186" s="86">
        <f t="shared" si="25"/>
        <v>183</v>
      </c>
      <c r="K186" s="80">
        <f t="shared" si="31"/>
        <v>3570.6</v>
      </c>
      <c r="M186" s="4">
        <v>183</v>
      </c>
      <c r="N186" s="5">
        <f t="shared" si="26"/>
        <v>597.1</v>
      </c>
    </row>
    <row r="187" spans="1:14" ht="16.5">
      <c r="A187" s="86">
        <f t="shared" si="27"/>
        <v>184</v>
      </c>
      <c r="B187" s="80">
        <f t="shared" si="28"/>
        <v>2226.3999999999996</v>
      </c>
      <c r="C187" s="249"/>
      <c r="D187" s="86">
        <f t="shared" si="23"/>
        <v>184</v>
      </c>
      <c r="E187" s="80">
        <f t="shared" si="29"/>
        <v>2226.3999999999996</v>
      </c>
      <c r="G187" s="86">
        <f t="shared" si="24"/>
        <v>184</v>
      </c>
      <c r="H187" s="80">
        <f t="shared" si="30"/>
        <v>3264.1</v>
      </c>
      <c r="I187" s="28"/>
      <c r="J187" s="86">
        <f t="shared" si="25"/>
        <v>184</v>
      </c>
      <c r="K187" s="80">
        <f t="shared" si="31"/>
        <v>3589.2999999999997</v>
      </c>
      <c r="M187" s="4">
        <v>184</v>
      </c>
      <c r="N187" s="5">
        <f t="shared" si="26"/>
        <v>600.1</v>
      </c>
    </row>
    <row r="188" spans="1:14" ht="16.5">
      <c r="A188" s="86">
        <f t="shared" si="27"/>
        <v>185</v>
      </c>
      <c r="B188" s="80">
        <f t="shared" si="28"/>
        <v>2238</v>
      </c>
      <c r="C188" s="249"/>
      <c r="D188" s="86">
        <f t="shared" si="23"/>
        <v>185</v>
      </c>
      <c r="E188" s="80">
        <f t="shared" si="29"/>
        <v>2238</v>
      </c>
      <c r="G188" s="86">
        <f t="shared" si="24"/>
        <v>185</v>
      </c>
      <c r="H188" s="80">
        <f t="shared" si="30"/>
        <v>3281.1</v>
      </c>
      <c r="I188" s="28"/>
      <c r="J188" s="86">
        <f t="shared" si="25"/>
        <v>185</v>
      </c>
      <c r="K188" s="80">
        <f t="shared" si="31"/>
        <v>3608</v>
      </c>
      <c r="M188" s="4">
        <v>185</v>
      </c>
      <c r="N188" s="5">
        <f t="shared" si="26"/>
        <v>603.1</v>
      </c>
    </row>
    <row r="189" spans="1:14" ht="16.5">
      <c r="A189" s="86">
        <f t="shared" si="27"/>
        <v>186</v>
      </c>
      <c r="B189" s="80">
        <f t="shared" si="28"/>
        <v>2249.6</v>
      </c>
      <c r="C189" s="249"/>
      <c r="D189" s="86">
        <f t="shared" si="23"/>
        <v>186</v>
      </c>
      <c r="E189" s="80">
        <f t="shared" si="29"/>
        <v>2249.6</v>
      </c>
      <c r="G189" s="86">
        <f t="shared" si="24"/>
        <v>186</v>
      </c>
      <c r="H189" s="80">
        <f t="shared" si="30"/>
        <v>3298.1</v>
      </c>
      <c r="I189" s="28"/>
      <c r="J189" s="86">
        <f t="shared" si="25"/>
        <v>186</v>
      </c>
      <c r="K189" s="80">
        <f t="shared" si="31"/>
        <v>3626.7</v>
      </c>
      <c r="M189" s="4">
        <v>186</v>
      </c>
      <c r="N189" s="5">
        <f t="shared" si="26"/>
        <v>606.1</v>
      </c>
    </row>
    <row r="190" spans="1:14" ht="16.5">
      <c r="A190" s="86">
        <f t="shared" si="27"/>
        <v>187</v>
      </c>
      <c r="B190" s="80">
        <f t="shared" si="28"/>
        <v>2261.1999999999998</v>
      </c>
      <c r="C190" s="249"/>
      <c r="D190" s="86">
        <f t="shared" si="23"/>
        <v>187</v>
      </c>
      <c r="E190" s="80">
        <f t="shared" si="29"/>
        <v>2261.1999999999998</v>
      </c>
      <c r="G190" s="86">
        <f t="shared" si="24"/>
        <v>187</v>
      </c>
      <c r="H190" s="80">
        <f t="shared" si="30"/>
        <v>3315.1</v>
      </c>
      <c r="I190" s="28"/>
      <c r="J190" s="86">
        <f t="shared" si="25"/>
        <v>187</v>
      </c>
      <c r="K190" s="80">
        <f t="shared" si="31"/>
        <v>3645.4</v>
      </c>
      <c r="M190" s="4">
        <v>187</v>
      </c>
      <c r="N190" s="5">
        <f t="shared" si="26"/>
        <v>609.1</v>
      </c>
    </row>
    <row r="191" spans="1:14" ht="16.5">
      <c r="A191" s="86">
        <f t="shared" si="27"/>
        <v>188</v>
      </c>
      <c r="B191" s="80">
        <f t="shared" si="28"/>
        <v>2272.8000000000002</v>
      </c>
      <c r="C191" s="249"/>
      <c r="D191" s="86">
        <f t="shared" si="23"/>
        <v>188</v>
      </c>
      <c r="E191" s="80">
        <f t="shared" si="29"/>
        <v>2272.8000000000002</v>
      </c>
      <c r="G191" s="86">
        <f t="shared" si="24"/>
        <v>188</v>
      </c>
      <c r="H191" s="80">
        <f t="shared" si="30"/>
        <v>3332.1</v>
      </c>
      <c r="I191" s="28"/>
      <c r="J191" s="86">
        <f t="shared" si="25"/>
        <v>188</v>
      </c>
      <c r="K191" s="80">
        <f t="shared" si="31"/>
        <v>3664.1</v>
      </c>
      <c r="M191" s="4">
        <v>188</v>
      </c>
      <c r="N191" s="5">
        <f t="shared" si="26"/>
        <v>612.1</v>
      </c>
    </row>
    <row r="192" spans="1:14" ht="16.5">
      <c r="A192" s="86">
        <f t="shared" si="27"/>
        <v>189</v>
      </c>
      <c r="B192" s="80">
        <f t="shared" si="28"/>
        <v>2284.3999999999996</v>
      </c>
      <c r="C192" s="249"/>
      <c r="D192" s="86">
        <f t="shared" si="23"/>
        <v>189</v>
      </c>
      <c r="E192" s="80">
        <f t="shared" si="29"/>
        <v>2284.3999999999996</v>
      </c>
      <c r="G192" s="86">
        <f t="shared" si="24"/>
        <v>189</v>
      </c>
      <c r="H192" s="80">
        <f t="shared" si="30"/>
        <v>3349.1</v>
      </c>
      <c r="I192" s="28"/>
      <c r="J192" s="86">
        <f t="shared" si="25"/>
        <v>189</v>
      </c>
      <c r="K192" s="80">
        <f t="shared" si="31"/>
        <v>3682.7999999999997</v>
      </c>
      <c r="M192" s="4">
        <v>189</v>
      </c>
      <c r="N192" s="5">
        <f t="shared" si="26"/>
        <v>615.1</v>
      </c>
    </row>
    <row r="193" spans="1:14" ht="16.5">
      <c r="A193" s="86">
        <f t="shared" si="27"/>
        <v>190</v>
      </c>
      <c r="B193" s="80">
        <f t="shared" si="28"/>
        <v>2296</v>
      </c>
      <c r="C193" s="249"/>
      <c r="D193" s="86">
        <f t="shared" si="23"/>
        <v>190</v>
      </c>
      <c r="E193" s="80">
        <f t="shared" si="29"/>
        <v>2296</v>
      </c>
      <c r="G193" s="86">
        <f t="shared" si="24"/>
        <v>190</v>
      </c>
      <c r="H193" s="80">
        <f t="shared" si="30"/>
        <v>3366.1</v>
      </c>
      <c r="I193" s="28"/>
      <c r="J193" s="86">
        <f t="shared" si="25"/>
        <v>190</v>
      </c>
      <c r="K193" s="80">
        <f t="shared" si="31"/>
        <v>3701.5</v>
      </c>
      <c r="M193" s="4">
        <v>190</v>
      </c>
      <c r="N193" s="5">
        <f t="shared" si="26"/>
        <v>618.1</v>
      </c>
    </row>
    <row r="194" spans="1:14" ht="16.5">
      <c r="A194" s="86">
        <f t="shared" si="27"/>
        <v>191</v>
      </c>
      <c r="B194" s="80">
        <f t="shared" si="28"/>
        <v>2307.6</v>
      </c>
      <c r="C194" s="249"/>
      <c r="D194" s="86">
        <f t="shared" si="23"/>
        <v>191</v>
      </c>
      <c r="E194" s="80">
        <f t="shared" si="29"/>
        <v>2307.6</v>
      </c>
      <c r="G194" s="86">
        <f t="shared" si="24"/>
        <v>191</v>
      </c>
      <c r="H194" s="80">
        <f t="shared" si="30"/>
        <v>3383.1</v>
      </c>
      <c r="I194" s="28"/>
      <c r="J194" s="86">
        <f t="shared" si="25"/>
        <v>191</v>
      </c>
      <c r="K194" s="80">
        <f t="shared" si="31"/>
        <v>3720.2</v>
      </c>
      <c r="M194" s="4">
        <v>191</v>
      </c>
      <c r="N194" s="5">
        <f t="shared" si="26"/>
        <v>621.1</v>
      </c>
    </row>
    <row r="195" spans="1:14" ht="16.5">
      <c r="A195" s="86">
        <f t="shared" si="27"/>
        <v>192</v>
      </c>
      <c r="B195" s="80">
        <f t="shared" si="28"/>
        <v>2319.1999999999998</v>
      </c>
      <c r="C195" s="249"/>
      <c r="D195" s="86">
        <f t="shared" si="23"/>
        <v>192</v>
      </c>
      <c r="E195" s="80">
        <f t="shared" si="29"/>
        <v>2319.1999999999998</v>
      </c>
      <c r="G195" s="86">
        <f t="shared" si="24"/>
        <v>192</v>
      </c>
      <c r="H195" s="80">
        <f t="shared" si="30"/>
        <v>3400.1</v>
      </c>
      <c r="I195" s="28"/>
      <c r="J195" s="86">
        <f t="shared" si="25"/>
        <v>192</v>
      </c>
      <c r="K195" s="80">
        <f t="shared" si="31"/>
        <v>3738.9</v>
      </c>
      <c r="M195" s="4">
        <v>192</v>
      </c>
      <c r="N195" s="5">
        <f t="shared" si="26"/>
        <v>624.1</v>
      </c>
    </row>
    <row r="196" spans="1:14" ht="16.5">
      <c r="A196" s="86">
        <f t="shared" si="27"/>
        <v>193</v>
      </c>
      <c r="B196" s="80">
        <f t="shared" si="28"/>
        <v>2330.8000000000002</v>
      </c>
      <c r="C196" s="249"/>
      <c r="D196" s="86">
        <f t="shared" si="23"/>
        <v>193</v>
      </c>
      <c r="E196" s="80">
        <f t="shared" si="29"/>
        <v>2330.8000000000002</v>
      </c>
      <c r="G196" s="86">
        <f t="shared" si="24"/>
        <v>193</v>
      </c>
      <c r="H196" s="80">
        <f t="shared" si="30"/>
        <v>3417.1</v>
      </c>
      <c r="I196" s="28"/>
      <c r="J196" s="86">
        <f t="shared" si="25"/>
        <v>193</v>
      </c>
      <c r="K196" s="80">
        <f t="shared" si="31"/>
        <v>3757.6</v>
      </c>
      <c r="M196" s="4">
        <v>193</v>
      </c>
      <c r="N196" s="5">
        <f t="shared" si="26"/>
        <v>627.1</v>
      </c>
    </row>
    <row r="197" spans="1:14" ht="16.5">
      <c r="A197" s="86">
        <f t="shared" si="27"/>
        <v>194</v>
      </c>
      <c r="B197" s="80">
        <f t="shared" si="28"/>
        <v>2342.3999999999996</v>
      </c>
      <c r="C197" s="249"/>
      <c r="D197" s="86">
        <f t="shared" ref="D197:D260" si="32">D196+1</f>
        <v>194</v>
      </c>
      <c r="E197" s="80">
        <f t="shared" si="29"/>
        <v>2342.3999999999996</v>
      </c>
      <c r="G197" s="86">
        <f t="shared" si="24"/>
        <v>194</v>
      </c>
      <c r="H197" s="80">
        <f t="shared" si="30"/>
        <v>3434.1</v>
      </c>
      <c r="I197" s="28"/>
      <c r="J197" s="86">
        <f t="shared" si="25"/>
        <v>194</v>
      </c>
      <c r="K197" s="80">
        <f t="shared" si="31"/>
        <v>3776.2999999999997</v>
      </c>
      <c r="M197" s="4">
        <v>194</v>
      </c>
      <c r="N197" s="5">
        <f t="shared" si="26"/>
        <v>630.1</v>
      </c>
    </row>
    <row r="198" spans="1:14" ht="16.5">
      <c r="A198" s="86">
        <f t="shared" si="27"/>
        <v>195</v>
      </c>
      <c r="B198" s="80">
        <f t="shared" si="28"/>
        <v>2354</v>
      </c>
      <c r="C198" s="249"/>
      <c r="D198" s="86">
        <f t="shared" si="32"/>
        <v>195</v>
      </c>
      <c r="E198" s="80">
        <f t="shared" si="29"/>
        <v>2354</v>
      </c>
      <c r="G198" s="86">
        <f t="shared" ref="G198:G261" si="33">G197+1</f>
        <v>195</v>
      </c>
      <c r="H198" s="80">
        <f t="shared" si="30"/>
        <v>3451.1</v>
      </c>
      <c r="I198" s="28"/>
      <c r="J198" s="86">
        <f t="shared" ref="J198:J261" si="34">J197+1</f>
        <v>195</v>
      </c>
      <c r="K198" s="80">
        <f t="shared" si="31"/>
        <v>3795</v>
      </c>
      <c r="M198" s="4">
        <v>195</v>
      </c>
      <c r="N198" s="5">
        <f t="shared" si="26"/>
        <v>633.1</v>
      </c>
    </row>
    <row r="199" spans="1:14" ht="16.5">
      <c r="A199" s="86">
        <f t="shared" si="27"/>
        <v>196</v>
      </c>
      <c r="B199" s="80">
        <f t="shared" si="28"/>
        <v>2365.6</v>
      </c>
      <c r="C199" s="249"/>
      <c r="D199" s="86">
        <f t="shared" si="32"/>
        <v>196</v>
      </c>
      <c r="E199" s="80">
        <f t="shared" si="29"/>
        <v>2365.6</v>
      </c>
      <c r="G199" s="86">
        <f t="shared" si="33"/>
        <v>196</v>
      </c>
      <c r="H199" s="80">
        <f t="shared" si="30"/>
        <v>3468.1</v>
      </c>
      <c r="I199" s="28"/>
      <c r="J199" s="86">
        <f t="shared" si="34"/>
        <v>196</v>
      </c>
      <c r="K199" s="80">
        <f t="shared" si="31"/>
        <v>3813.7</v>
      </c>
      <c r="M199" s="4">
        <v>196</v>
      </c>
      <c r="N199" s="5">
        <f t="shared" si="26"/>
        <v>636.1</v>
      </c>
    </row>
    <row r="200" spans="1:14" ht="16.5">
      <c r="A200" s="86">
        <f t="shared" si="27"/>
        <v>197</v>
      </c>
      <c r="B200" s="80">
        <f t="shared" si="28"/>
        <v>2377.1999999999998</v>
      </c>
      <c r="C200" s="249"/>
      <c r="D200" s="86">
        <f t="shared" si="32"/>
        <v>197</v>
      </c>
      <c r="E200" s="80">
        <f t="shared" si="29"/>
        <v>2377.1999999999998</v>
      </c>
      <c r="G200" s="86">
        <f t="shared" si="33"/>
        <v>197</v>
      </c>
      <c r="H200" s="80">
        <f t="shared" si="30"/>
        <v>3485.1</v>
      </c>
      <c r="I200" s="28"/>
      <c r="J200" s="86">
        <f t="shared" si="34"/>
        <v>197</v>
      </c>
      <c r="K200" s="80">
        <f t="shared" si="31"/>
        <v>3832.4</v>
      </c>
      <c r="M200" s="4">
        <v>197</v>
      </c>
      <c r="N200" s="5">
        <f t="shared" si="26"/>
        <v>639.1</v>
      </c>
    </row>
    <row r="201" spans="1:14" ht="16.5">
      <c r="A201" s="86">
        <f t="shared" si="27"/>
        <v>198</v>
      </c>
      <c r="B201" s="80">
        <f t="shared" si="28"/>
        <v>2388.8000000000002</v>
      </c>
      <c r="C201" s="249"/>
      <c r="D201" s="86">
        <f t="shared" si="32"/>
        <v>198</v>
      </c>
      <c r="E201" s="80">
        <f t="shared" si="29"/>
        <v>2388.8000000000002</v>
      </c>
      <c r="G201" s="86">
        <f t="shared" si="33"/>
        <v>198</v>
      </c>
      <c r="H201" s="80">
        <f t="shared" si="30"/>
        <v>3502.1</v>
      </c>
      <c r="I201" s="28"/>
      <c r="J201" s="86">
        <f t="shared" si="34"/>
        <v>198</v>
      </c>
      <c r="K201" s="80">
        <f t="shared" si="31"/>
        <v>3851.1</v>
      </c>
      <c r="M201" s="4">
        <v>198</v>
      </c>
      <c r="N201" s="5">
        <f t="shared" ref="N201:N264" si="35">N200+3</f>
        <v>642.1</v>
      </c>
    </row>
    <row r="202" spans="1:14" ht="16.5">
      <c r="A202" s="86">
        <f t="shared" si="27"/>
        <v>199</v>
      </c>
      <c r="B202" s="80">
        <f t="shared" si="28"/>
        <v>2400.3999999999996</v>
      </c>
      <c r="C202" s="249"/>
      <c r="D202" s="86">
        <f t="shared" si="32"/>
        <v>199</v>
      </c>
      <c r="E202" s="80">
        <f t="shared" si="29"/>
        <v>2400.3999999999996</v>
      </c>
      <c r="G202" s="86">
        <f t="shared" si="33"/>
        <v>199</v>
      </c>
      <c r="H202" s="80">
        <f t="shared" si="30"/>
        <v>3519.1</v>
      </c>
      <c r="I202" s="28"/>
      <c r="J202" s="86">
        <f t="shared" si="34"/>
        <v>199</v>
      </c>
      <c r="K202" s="80">
        <f t="shared" si="31"/>
        <v>3869.7999999999997</v>
      </c>
      <c r="M202" s="4">
        <v>199</v>
      </c>
      <c r="N202" s="5">
        <f t="shared" si="35"/>
        <v>645.1</v>
      </c>
    </row>
    <row r="203" spans="1:14" ht="16.5">
      <c r="A203" s="86">
        <f t="shared" si="27"/>
        <v>200</v>
      </c>
      <c r="B203" s="80">
        <f t="shared" si="28"/>
        <v>2412</v>
      </c>
      <c r="C203" s="249"/>
      <c r="D203" s="86">
        <f t="shared" si="32"/>
        <v>200</v>
      </c>
      <c r="E203" s="80">
        <f t="shared" si="29"/>
        <v>2412</v>
      </c>
      <c r="G203" s="86">
        <f t="shared" si="33"/>
        <v>200</v>
      </c>
      <c r="H203" s="80">
        <f t="shared" si="30"/>
        <v>3536.1</v>
      </c>
      <c r="I203" s="28"/>
      <c r="J203" s="86">
        <f t="shared" si="34"/>
        <v>200</v>
      </c>
      <c r="K203" s="80">
        <f t="shared" si="31"/>
        <v>3888.5</v>
      </c>
      <c r="M203" s="4">
        <v>200</v>
      </c>
      <c r="N203" s="5">
        <f t="shared" si="35"/>
        <v>648.1</v>
      </c>
    </row>
    <row r="204" spans="1:14" ht="16.5">
      <c r="A204" s="86">
        <f t="shared" si="27"/>
        <v>201</v>
      </c>
      <c r="B204" s="80">
        <f t="shared" si="28"/>
        <v>2423.6</v>
      </c>
      <c r="C204" s="249"/>
      <c r="D204" s="86">
        <f t="shared" si="32"/>
        <v>201</v>
      </c>
      <c r="E204" s="80">
        <f t="shared" si="29"/>
        <v>2423.6</v>
      </c>
      <c r="G204" s="86">
        <f t="shared" si="33"/>
        <v>201</v>
      </c>
      <c r="H204" s="80">
        <f t="shared" si="30"/>
        <v>3553.1</v>
      </c>
      <c r="I204" s="28"/>
      <c r="J204" s="86">
        <f t="shared" si="34"/>
        <v>201</v>
      </c>
      <c r="K204" s="80">
        <f t="shared" si="31"/>
        <v>3907.2</v>
      </c>
      <c r="M204" s="4">
        <v>200</v>
      </c>
      <c r="N204" s="5">
        <f t="shared" si="35"/>
        <v>651.1</v>
      </c>
    </row>
    <row r="205" spans="1:14" ht="16.5">
      <c r="A205" s="86">
        <f t="shared" si="27"/>
        <v>202</v>
      </c>
      <c r="B205" s="80">
        <f t="shared" si="28"/>
        <v>2435.1999999999998</v>
      </c>
      <c r="C205" s="249"/>
      <c r="D205" s="86">
        <f t="shared" si="32"/>
        <v>202</v>
      </c>
      <c r="E205" s="80">
        <f t="shared" si="29"/>
        <v>2435.1999999999998</v>
      </c>
      <c r="G205" s="86">
        <f t="shared" si="33"/>
        <v>202</v>
      </c>
      <c r="H205" s="80">
        <f t="shared" si="30"/>
        <v>3570.1</v>
      </c>
      <c r="I205" s="28"/>
      <c r="J205" s="86">
        <f t="shared" si="34"/>
        <v>202</v>
      </c>
      <c r="K205" s="80">
        <f t="shared" si="31"/>
        <v>3925.9</v>
      </c>
      <c r="M205" s="4">
        <v>200</v>
      </c>
      <c r="N205" s="5">
        <f t="shared" si="35"/>
        <v>654.1</v>
      </c>
    </row>
    <row r="206" spans="1:14" ht="16.5">
      <c r="A206" s="86">
        <f t="shared" si="27"/>
        <v>203</v>
      </c>
      <c r="B206" s="80">
        <f t="shared" si="28"/>
        <v>2446.8000000000002</v>
      </c>
      <c r="C206" s="249"/>
      <c r="D206" s="86">
        <f t="shared" si="32"/>
        <v>203</v>
      </c>
      <c r="E206" s="80">
        <f t="shared" si="29"/>
        <v>2446.8000000000002</v>
      </c>
      <c r="G206" s="86">
        <f t="shared" si="33"/>
        <v>203</v>
      </c>
      <c r="H206" s="80">
        <f t="shared" si="30"/>
        <v>3587.1</v>
      </c>
      <c r="I206" s="28"/>
      <c r="J206" s="86">
        <f t="shared" si="34"/>
        <v>203</v>
      </c>
      <c r="K206" s="80">
        <f t="shared" si="31"/>
        <v>3944.6</v>
      </c>
      <c r="M206" s="4">
        <v>200</v>
      </c>
      <c r="N206" s="5">
        <f t="shared" si="35"/>
        <v>657.1</v>
      </c>
    </row>
    <row r="207" spans="1:14" ht="16.5">
      <c r="A207" s="86">
        <f t="shared" si="27"/>
        <v>204</v>
      </c>
      <c r="B207" s="80">
        <f t="shared" si="28"/>
        <v>2458.3999999999996</v>
      </c>
      <c r="C207" s="249"/>
      <c r="D207" s="86">
        <f t="shared" si="32"/>
        <v>204</v>
      </c>
      <c r="E207" s="80">
        <f t="shared" si="29"/>
        <v>2458.3999999999996</v>
      </c>
      <c r="G207" s="86">
        <f t="shared" si="33"/>
        <v>204</v>
      </c>
      <c r="H207" s="80">
        <f t="shared" si="30"/>
        <v>3604.1</v>
      </c>
      <c r="I207" s="28"/>
      <c r="J207" s="86">
        <f t="shared" si="34"/>
        <v>204</v>
      </c>
      <c r="K207" s="80">
        <f t="shared" si="31"/>
        <v>3963.2999999999997</v>
      </c>
      <c r="M207" s="4">
        <v>200</v>
      </c>
      <c r="N207" s="5">
        <f t="shared" si="35"/>
        <v>660.1</v>
      </c>
    </row>
    <row r="208" spans="1:14" ht="16.5">
      <c r="A208" s="86">
        <f t="shared" si="27"/>
        <v>205</v>
      </c>
      <c r="B208" s="80">
        <f t="shared" si="28"/>
        <v>2470</v>
      </c>
      <c r="C208" s="249"/>
      <c r="D208" s="86">
        <f t="shared" si="32"/>
        <v>205</v>
      </c>
      <c r="E208" s="80">
        <f t="shared" si="29"/>
        <v>2470</v>
      </c>
      <c r="G208" s="86">
        <f t="shared" si="33"/>
        <v>205</v>
      </c>
      <c r="H208" s="80">
        <f t="shared" si="30"/>
        <v>3621.1</v>
      </c>
      <c r="I208" s="28"/>
      <c r="J208" s="86">
        <f t="shared" si="34"/>
        <v>205</v>
      </c>
      <c r="K208" s="80">
        <f t="shared" si="31"/>
        <v>3982</v>
      </c>
      <c r="M208" s="4">
        <v>200</v>
      </c>
      <c r="N208" s="5">
        <f t="shared" si="35"/>
        <v>663.1</v>
      </c>
    </row>
    <row r="209" spans="1:14" ht="16.5">
      <c r="A209" s="86">
        <f t="shared" si="27"/>
        <v>206</v>
      </c>
      <c r="B209" s="80">
        <f t="shared" si="28"/>
        <v>2481.6</v>
      </c>
      <c r="C209" s="249"/>
      <c r="D209" s="86">
        <f t="shared" si="32"/>
        <v>206</v>
      </c>
      <c r="E209" s="80">
        <f t="shared" si="29"/>
        <v>2481.6</v>
      </c>
      <c r="G209" s="86">
        <f t="shared" si="33"/>
        <v>206</v>
      </c>
      <c r="H209" s="80">
        <f t="shared" si="30"/>
        <v>3638.1</v>
      </c>
      <c r="I209" s="28"/>
      <c r="J209" s="86">
        <f t="shared" si="34"/>
        <v>206</v>
      </c>
      <c r="K209" s="80">
        <f t="shared" si="31"/>
        <v>4000.7</v>
      </c>
      <c r="M209" s="4">
        <v>200</v>
      </c>
      <c r="N209" s="5">
        <f t="shared" si="35"/>
        <v>666.1</v>
      </c>
    </row>
    <row r="210" spans="1:14" ht="16.5">
      <c r="A210" s="86">
        <f t="shared" si="27"/>
        <v>207</v>
      </c>
      <c r="B210" s="80">
        <f t="shared" si="28"/>
        <v>2493.1999999999998</v>
      </c>
      <c r="C210" s="249"/>
      <c r="D210" s="86">
        <f t="shared" si="32"/>
        <v>207</v>
      </c>
      <c r="E210" s="80">
        <f t="shared" si="29"/>
        <v>2493.1999999999998</v>
      </c>
      <c r="G210" s="86">
        <f t="shared" si="33"/>
        <v>207</v>
      </c>
      <c r="H210" s="80">
        <f t="shared" si="30"/>
        <v>3655.1</v>
      </c>
      <c r="I210" s="28"/>
      <c r="J210" s="86">
        <f t="shared" si="34"/>
        <v>207</v>
      </c>
      <c r="K210" s="80">
        <f t="shared" si="31"/>
        <v>4019.4</v>
      </c>
      <c r="M210" s="4">
        <v>200</v>
      </c>
      <c r="N210" s="5">
        <f t="shared" si="35"/>
        <v>669.1</v>
      </c>
    </row>
    <row r="211" spans="1:14" ht="16.5">
      <c r="A211" s="86">
        <f t="shared" si="27"/>
        <v>208</v>
      </c>
      <c r="B211" s="80">
        <f t="shared" si="28"/>
        <v>2504.7999999999997</v>
      </c>
      <c r="C211" s="249"/>
      <c r="D211" s="86">
        <f t="shared" si="32"/>
        <v>208</v>
      </c>
      <c r="E211" s="80">
        <f t="shared" si="29"/>
        <v>2504.7999999999997</v>
      </c>
      <c r="G211" s="86">
        <f t="shared" si="33"/>
        <v>208</v>
      </c>
      <c r="H211" s="80">
        <f t="shared" si="30"/>
        <v>3672.1</v>
      </c>
      <c r="I211" s="28"/>
      <c r="J211" s="86">
        <f t="shared" si="34"/>
        <v>208</v>
      </c>
      <c r="K211" s="80">
        <f t="shared" si="31"/>
        <v>4038.1</v>
      </c>
      <c r="M211" s="4">
        <v>200</v>
      </c>
      <c r="N211" s="5">
        <f t="shared" si="35"/>
        <v>672.1</v>
      </c>
    </row>
    <row r="212" spans="1:14" ht="16.5">
      <c r="A212" s="86">
        <f t="shared" si="27"/>
        <v>209</v>
      </c>
      <c r="B212" s="80">
        <f t="shared" si="28"/>
        <v>2516.4</v>
      </c>
      <c r="C212" s="249"/>
      <c r="D212" s="86">
        <f t="shared" si="32"/>
        <v>209</v>
      </c>
      <c r="E212" s="80">
        <f t="shared" si="29"/>
        <v>2516.4</v>
      </c>
      <c r="G212" s="86">
        <f t="shared" si="33"/>
        <v>209</v>
      </c>
      <c r="H212" s="80">
        <f t="shared" si="30"/>
        <v>3689.1</v>
      </c>
      <c r="I212" s="28"/>
      <c r="J212" s="86">
        <f t="shared" si="34"/>
        <v>209</v>
      </c>
      <c r="K212" s="80">
        <f t="shared" si="31"/>
        <v>4056.7999999999997</v>
      </c>
      <c r="M212" s="4">
        <v>200</v>
      </c>
      <c r="N212" s="5">
        <f t="shared" si="35"/>
        <v>675.1</v>
      </c>
    </row>
    <row r="213" spans="1:14" ht="16.5">
      <c r="A213" s="86">
        <f t="shared" si="27"/>
        <v>210</v>
      </c>
      <c r="B213" s="80">
        <f t="shared" si="28"/>
        <v>2528</v>
      </c>
      <c r="C213" s="249"/>
      <c r="D213" s="86">
        <f t="shared" si="32"/>
        <v>210</v>
      </c>
      <c r="E213" s="80">
        <f t="shared" si="29"/>
        <v>2528</v>
      </c>
      <c r="G213" s="86">
        <f t="shared" si="33"/>
        <v>210</v>
      </c>
      <c r="H213" s="80">
        <f t="shared" si="30"/>
        <v>3706.1</v>
      </c>
      <c r="I213" s="28"/>
      <c r="J213" s="86">
        <f t="shared" si="34"/>
        <v>210</v>
      </c>
      <c r="K213" s="80">
        <f t="shared" si="31"/>
        <v>4075.5</v>
      </c>
      <c r="M213" s="4">
        <v>200</v>
      </c>
      <c r="N213" s="5">
        <f t="shared" si="35"/>
        <v>678.1</v>
      </c>
    </row>
    <row r="214" spans="1:14" ht="16.5">
      <c r="A214" s="86">
        <f t="shared" si="27"/>
        <v>211</v>
      </c>
      <c r="B214" s="80">
        <f t="shared" si="28"/>
        <v>2539.6</v>
      </c>
      <c r="C214" s="249"/>
      <c r="D214" s="86">
        <f t="shared" si="32"/>
        <v>211</v>
      </c>
      <c r="E214" s="80">
        <f t="shared" si="29"/>
        <v>2539.6</v>
      </c>
      <c r="G214" s="86">
        <f t="shared" si="33"/>
        <v>211</v>
      </c>
      <c r="H214" s="80">
        <f t="shared" si="30"/>
        <v>3723.1</v>
      </c>
      <c r="I214" s="28"/>
      <c r="J214" s="86">
        <f t="shared" si="34"/>
        <v>211</v>
      </c>
      <c r="K214" s="80">
        <f t="shared" si="31"/>
        <v>4094.2</v>
      </c>
      <c r="M214" s="4">
        <v>200</v>
      </c>
      <c r="N214" s="5">
        <f t="shared" si="35"/>
        <v>681.1</v>
      </c>
    </row>
    <row r="215" spans="1:14" ht="16.5">
      <c r="A215" s="86">
        <f t="shared" si="27"/>
        <v>212</v>
      </c>
      <c r="B215" s="80">
        <f t="shared" si="28"/>
        <v>2551.1999999999998</v>
      </c>
      <c r="C215" s="249"/>
      <c r="D215" s="86">
        <f t="shared" si="32"/>
        <v>212</v>
      </c>
      <c r="E215" s="80">
        <f t="shared" si="29"/>
        <v>2551.1999999999998</v>
      </c>
      <c r="G215" s="86">
        <f t="shared" si="33"/>
        <v>212</v>
      </c>
      <c r="H215" s="80">
        <f t="shared" si="30"/>
        <v>3740.1</v>
      </c>
      <c r="I215" s="28"/>
      <c r="J215" s="86">
        <f t="shared" si="34"/>
        <v>212</v>
      </c>
      <c r="K215" s="80">
        <f t="shared" si="31"/>
        <v>4112.8999999999996</v>
      </c>
      <c r="M215" s="4">
        <v>200</v>
      </c>
      <c r="N215" s="5">
        <f t="shared" si="35"/>
        <v>684.1</v>
      </c>
    </row>
    <row r="216" spans="1:14" ht="16.5">
      <c r="A216" s="86">
        <f t="shared" si="27"/>
        <v>213</v>
      </c>
      <c r="B216" s="80">
        <f t="shared" si="28"/>
        <v>2562.7999999999997</v>
      </c>
      <c r="C216" s="249"/>
      <c r="D216" s="86">
        <f t="shared" si="32"/>
        <v>213</v>
      </c>
      <c r="E216" s="80">
        <f t="shared" si="29"/>
        <v>2562.7999999999997</v>
      </c>
      <c r="G216" s="86">
        <f t="shared" si="33"/>
        <v>213</v>
      </c>
      <c r="H216" s="80">
        <f t="shared" si="30"/>
        <v>3757.1</v>
      </c>
      <c r="I216" s="28"/>
      <c r="J216" s="86">
        <f t="shared" si="34"/>
        <v>213</v>
      </c>
      <c r="K216" s="80">
        <f t="shared" si="31"/>
        <v>4131.6000000000004</v>
      </c>
      <c r="M216" s="4">
        <v>200</v>
      </c>
      <c r="N216" s="5">
        <f t="shared" si="35"/>
        <v>687.1</v>
      </c>
    </row>
    <row r="217" spans="1:14" ht="16.5">
      <c r="A217" s="86">
        <f t="shared" si="27"/>
        <v>214</v>
      </c>
      <c r="B217" s="80">
        <f t="shared" si="28"/>
        <v>2574.4</v>
      </c>
      <c r="C217" s="249"/>
      <c r="D217" s="86">
        <f t="shared" si="32"/>
        <v>214</v>
      </c>
      <c r="E217" s="80">
        <f t="shared" si="29"/>
        <v>2574.4</v>
      </c>
      <c r="G217" s="86">
        <f t="shared" si="33"/>
        <v>214</v>
      </c>
      <c r="H217" s="80">
        <f t="shared" si="30"/>
        <v>3774.1</v>
      </c>
      <c r="I217" s="28"/>
      <c r="J217" s="86">
        <f t="shared" si="34"/>
        <v>214</v>
      </c>
      <c r="K217" s="80">
        <f t="shared" si="31"/>
        <v>4150.2999999999993</v>
      </c>
      <c r="M217" s="4">
        <v>200</v>
      </c>
      <c r="N217" s="5">
        <f t="shared" si="35"/>
        <v>690.1</v>
      </c>
    </row>
    <row r="218" spans="1:14" ht="16.5">
      <c r="A218" s="86">
        <f t="shared" si="27"/>
        <v>215</v>
      </c>
      <c r="B218" s="80">
        <f t="shared" si="28"/>
        <v>2586</v>
      </c>
      <c r="C218" s="249"/>
      <c r="D218" s="86">
        <f t="shared" si="32"/>
        <v>215</v>
      </c>
      <c r="E218" s="80">
        <f t="shared" si="29"/>
        <v>2586</v>
      </c>
      <c r="G218" s="86">
        <f t="shared" si="33"/>
        <v>215</v>
      </c>
      <c r="H218" s="80">
        <f t="shared" si="30"/>
        <v>3791.1</v>
      </c>
      <c r="I218" s="28"/>
      <c r="J218" s="86">
        <f t="shared" si="34"/>
        <v>215</v>
      </c>
      <c r="K218" s="80">
        <f t="shared" si="31"/>
        <v>4169</v>
      </c>
      <c r="M218" s="4">
        <v>200</v>
      </c>
      <c r="N218" s="5">
        <f t="shared" si="35"/>
        <v>693.1</v>
      </c>
    </row>
    <row r="219" spans="1:14" ht="16.5">
      <c r="A219" s="86">
        <f t="shared" si="27"/>
        <v>216</v>
      </c>
      <c r="B219" s="80">
        <f t="shared" si="28"/>
        <v>2597.6</v>
      </c>
      <c r="C219" s="249"/>
      <c r="D219" s="86">
        <f t="shared" si="32"/>
        <v>216</v>
      </c>
      <c r="E219" s="80">
        <f t="shared" si="29"/>
        <v>2597.6</v>
      </c>
      <c r="G219" s="86">
        <f t="shared" si="33"/>
        <v>216</v>
      </c>
      <c r="H219" s="80">
        <f t="shared" si="30"/>
        <v>3808.1</v>
      </c>
      <c r="I219" s="28"/>
      <c r="J219" s="86">
        <f t="shared" si="34"/>
        <v>216</v>
      </c>
      <c r="K219" s="80">
        <f t="shared" si="31"/>
        <v>4187.7</v>
      </c>
      <c r="M219" s="4">
        <v>200</v>
      </c>
      <c r="N219" s="5">
        <f t="shared" si="35"/>
        <v>696.1</v>
      </c>
    </row>
    <row r="220" spans="1:14" ht="16.5">
      <c r="A220" s="86">
        <f t="shared" si="27"/>
        <v>217</v>
      </c>
      <c r="B220" s="80">
        <f t="shared" si="28"/>
        <v>2609.1999999999998</v>
      </c>
      <c r="C220" s="249"/>
      <c r="D220" s="86">
        <f t="shared" si="32"/>
        <v>217</v>
      </c>
      <c r="E220" s="80">
        <f t="shared" si="29"/>
        <v>2609.1999999999998</v>
      </c>
      <c r="G220" s="86">
        <f t="shared" si="33"/>
        <v>217</v>
      </c>
      <c r="H220" s="80">
        <f t="shared" si="30"/>
        <v>3825.1</v>
      </c>
      <c r="I220" s="28"/>
      <c r="J220" s="86">
        <f t="shared" si="34"/>
        <v>217</v>
      </c>
      <c r="K220" s="80">
        <f t="shared" si="31"/>
        <v>4206.3999999999996</v>
      </c>
      <c r="M220" s="4">
        <v>200</v>
      </c>
      <c r="N220" s="5">
        <f t="shared" si="35"/>
        <v>699.1</v>
      </c>
    </row>
    <row r="221" spans="1:14" ht="16.5">
      <c r="A221" s="86">
        <f t="shared" si="27"/>
        <v>218</v>
      </c>
      <c r="B221" s="80">
        <f t="shared" si="28"/>
        <v>2620.7999999999997</v>
      </c>
      <c r="C221" s="249"/>
      <c r="D221" s="86">
        <f t="shared" si="32"/>
        <v>218</v>
      </c>
      <c r="E221" s="80">
        <f t="shared" si="29"/>
        <v>2620.7999999999997</v>
      </c>
      <c r="G221" s="86">
        <f t="shared" si="33"/>
        <v>218</v>
      </c>
      <c r="H221" s="80">
        <f t="shared" si="30"/>
        <v>3842.1</v>
      </c>
      <c r="I221" s="28"/>
      <c r="J221" s="86">
        <f t="shared" si="34"/>
        <v>218</v>
      </c>
      <c r="K221" s="80">
        <f t="shared" si="31"/>
        <v>4225.1000000000004</v>
      </c>
      <c r="M221" s="4">
        <v>200</v>
      </c>
      <c r="N221" s="5">
        <f t="shared" si="35"/>
        <v>702.1</v>
      </c>
    </row>
    <row r="222" spans="1:14" ht="16.5">
      <c r="A222" s="86">
        <f t="shared" si="27"/>
        <v>219</v>
      </c>
      <c r="B222" s="80">
        <f t="shared" si="28"/>
        <v>2632.4</v>
      </c>
      <c r="C222" s="249"/>
      <c r="D222" s="86">
        <f t="shared" si="32"/>
        <v>219</v>
      </c>
      <c r="E222" s="80">
        <f t="shared" si="29"/>
        <v>2632.4</v>
      </c>
      <c r="G222" s="86">
        <f t="shared" si="33"/>
        <v>219</v>
      </c>
      <c r="H222" s="80">
        <f t="shared" si="30"/>
        <v>3859.1</v>
      </c>
      <c r="I222" s="28"/>
      <c r="J222" s="86">
        <f t="shared" si="34"/>
        <v>219</v>
      </c>
      <c r="K222" s="80">
        <f t="shared" si="31"/>
        <v>4243.7999999999993</v>
      </c>
      <c r="M222" s="4">
        <v>200</v>
      </c>
      <c r="N222" s="5">
        <f t="shared" si="35"/>
        <v>705.1</v>
      </c>
    </row>
    <row r="223" spans="1:14" ht="16.5">
      <c r="A223" s="86">
        <f t="shared" si="27"/>
        <v>220</v>
      </c>
      <c r="B223" s="80">
        <f t="shared" si="28"/>
        <v>2644</v>
      </c>
      <c r="C223" s="249"/>
      <c r="D223" s="86">
        <f t="shared" si="32"/>
        <v>220</v>
      </c>
      <c r="E223" s="80">
        <f t="shared" si="29"/>
        <v>2644</v>
      </c>
      <c r="G223" s="86">
        <f t="shared" si="33"/>
        <v>220</v>
      </c>
      <c r="H223" s="80">
        <f t="shared" si="30"/>
        <v>3876.1</v>
      </c>
      <c r="I223" s="28"/>
      <c r="J223" s="86">
        <f t="shared" si="34"/>
        <v>220</v>
      </c>
      <c r="K223" s="80">
        <f t="shared" si="31"/>
        <v>4262.5</v>
      </c>
      <c r="M223" s="4">
        <v>200</v>
      </c>
      <c r="N223" s="5">
        <f t="shared" si="35"/>
        <v>708.1</v>
      </c>
    </row>
    <row r="224" spans="1:14" ht="16.5">
      <c r="A224" s="86">
        <f t="shared" si="27"/>
        <v>221</v>
      </c>
      <c r="B224" s="80">
        <f t="shared" si="28"/>
        <v>2655.6</v>
      </c>
      <c r="C224" s="249"/>
      <c r="D224" s="86">
        <f t="shared" si="32"/>
        <v>221</v>
      </c>
      <c r="E224" s="80">
        <f t="shared" si="29"/>
        <v>2655.6</v>
      </c>
      <c r="G224" s="86">
        <f t="shared" si="33"/>
        <v>221</v>
      </c>
      <c r="H224" s="80">
        <f t="shared" si="30"/>
        <v>3893.1</v>
      </c>
      <c r="I224" s="28"/>
      <c r="J224" s="86">
        <f t="shared" si="34"/>
        <v>221</v>
      </c>
      <c r="K224" s="80">
        <f t="shared" si="31"/>
        <v>4281.2</v>
      </c>
      <c r="M224" s="4">
        <v>200</v>
      </c>
      <c r="N224" s="5">
        <f t="shared" si="35"/>
        <v>711.1</v>
      </c>
    </row>
    <row r="225" spans="1:14" ht="16.5">
      <c r="A225" s="86">
        <f t="shared" si="27"/>
        <v>222</v>
      </c>
      <c r="B225" s="80">
        <f t="shared" si="28"/>
        <v>2667.2</v>
      </c>
      <c r="C225" s="249"/>
      <c r="D225" s="86">
        <f t="shared" si="32"/>
        <v>222</v>
      </c>
      <c r="E225" s="80">
        <f t="shared" si="29"/>
        <v>2667.2</v>
      </c>
      <c r="G225" s="86">
        <f t="shared" si="33"/>
        <v>222</v>
      </c>
      <c r="H225" s="80">
        <f t="shared" si="30"/>
        <v>3910.1</v>
      </c>
      <c r="I225" s="28"/>
      <c r="J225" s="86">
        <f t="shared" si="34"/>
        <v>222</v>
      </c>
      <c r="K225" s="80">
        <f t="shared" si="31"/>
        <v>4299.8999999999996</v>
      </c>
      <c r="M225" s="4">
        <v>200</v>
      </c>
      <c r="N225" s="5">
        <f t="shared" si="35"/>
        <v>714.1</v>
      </c>
    </row>
    <row r="226" spans="1:14" ht="16.5">
      <c r="A226" s="86">
        <f t="shared" si="27"/>
        <v>223</v>
      </c>
      <c r="B226" s="80">
        <f t="shared" si="28"/>
        <v>2678.7999999999997</v>
      </c>
      <c r="C226" s="249"/>
      <c r="D226" s="86">
        <f t="shared" si="32"/>
        <v>223</v>
      </c>
      <c r="E226" s="80">
        <f t="shared" si="29"/>
        <v>2678.7999999999997</v>
      </c>
      <c r="G226" s="86">
        <f t="shared" si="33"/>
        <v>223</v>
      </c>
      <c r="H226" s="80">
        <f t="shared" si="30"/>
        <v>3927.1</v>
      </c>
      <c r="I226" s="28"/>
      <c r="J226" s="86">
        <f t="shared" si="34"/>
        <v>223</v>
      </c>
      <c r="K226" s="80">
        <f t="shared" si="31"/>
        <v>4318.6000000000004</v>
      </c>
      <c r="M226" s="4">
        <v>200</v>
      </c>
      <c r="N226" s="5">
        <f t="shared" si="35"/>
        <v>717.1</v>
      </c>
    </row>
    <row r="227" spans="1:14" ht="16.5">
      <c r="A227" s="86">
        <f t="shared" ref="A227:A290" si="36">A226+1</f>
        <v>224</v>
      </c>
      <c r="B227" s="80">
        <f t="shared" ref="B227:B290" si="37">$B$33+(A227-$A$33)*$Q$11</f>
        <v>2690.4</v>
      </c>
      <c r="C227" s="249"/>
      <c r="D227" s="86">
        <f t="shared" si="32"/>
        <v>224</v>
      </c>
      <c r="E227" s="80">
        <f t="shared" ref="E227:E290" si="38">$E$33+(A227-$A$33)*$Q$6</f>
        <v>2690.4</v>
      </c>
      <c r="G227" s="86">
        <f t="shared" si="33"/>
        <v>224</v>
      </c>
      <c r="H227" s="80">
        <f t="shared" ref="H227:H290" si="39">$H$33+(A227-$A$33)*$Q$16</f>
        <v>3944.1</v>
      </c>
      <c r="I227" s="28"/>
      <c r="J227" s="86">
        <f t="shared" si="34"/>
        <v>224</v>
      </c>
      <c r="K227" s="80">
        <f t="shared" ref="K227:K290" si="40">$K$33+(A227-$A$33)*$Q$21</f>
        <v>4337.2999999999993</v>
      </c>
      <c r="M227" s="4">
        <v>200</v>
      </c>
      <c r="N227" s="5">
        <f t="shared" si="35"/>
        <v>720.1</v>
      </c>
    </row>
    <row r="228" spans="1:14" ht="16.5">
      <c r="A228" s="86">
        <f t="shared" si="36"/>
        <v>225</v>
      </c>
      <c r="B228" s="80">
        <f t="shared" si="37"/>
        <v>2702</v>
      </c>
      <c r="C228" s="249"/>
      <c r="D228" s="86">
        <f t="shared" si="32"/>
        <v>225</v>
      </c>
      <c r="E228" s="80">
        <f t="shared" si="38"/>
        <v>2702</v>
      </c>
      <c r="G228" s="86">
        <f t="shared" si="33"/>
        <v>225</v>
      </c>
      <c r="H228" s="80">
        <f t="shared" si="39"/>
        <v>3961.1</v>
      </c>
      <c r="I228" s="28"/>
      <c r="J228" s="86">
        <f t="shared" si="34"/>
        <v>225</v>
      </c>
      <c r="K228" s="80">
        <f t="shared" si="40"/>
        <v>4356</v>
      </c>
      <c r="M228" s="4">
        <v>200</v>
      </c>
      <c r="N228" s="5">
        <f t="shared" si="35"/>
        <v>723.1</v>
      </c>
    </row>
    <row r="229" spans="1:14" ht="16.5">
      <c r="A229" s="86">
        <f t="shared" si="36"/>
        <v>226</v>
      </c>
      <c r="B229" s="80">
        <f t="shared" si="37"/>
        <v>2713.6</v>
      </c>
      <c r="C229" s="249"/>
      <c r="D229" s="86">
        <f t="shared" si="32"/>
        <v>226</v>
      </c>
      <c r="E229" s="80">
        <f t="shared" si="38"/>
        <v>2713.6</v>
      </c>
      <c r="G229" s="86">
        <f t="shared" si="33"/>
        <v>226</v>
      </c>
      <c r="H229" s="80">
        <f t="shared" si="39"/>
        <v>3978.1</v>
      </c>
      <c r="I229" s="28"/>
      <c r="J229" s="86">
        <f t="shared" si="34"/>
        <v>226</v>
      </c>
      <c r="K229" s="80">
        <f t="shared" si="40"/>
        <v>4374.7</v>
      </c>
      <c r="M229" s="4">
        <v>200</v>
      </c>
      <c r="N229" s="5">
        <f t="shared" si="35"/>
        <v>726.1</v>
      </c>
    </row>
    <row r="230" spans="1:14" ht="16.5">
      <c r="A230" s="86">
        <f t="shared" si="36"/>
        <v>227</v>
      </c>
      <c r="B230" s="80">
        <f t="shared" si="37"/>
        <v>2725.2</v>
      </c>
      <c r="C230" s="249"/>
      <c r="D230" s="86">
        <f t="shared" si="32"/>
        <v>227</v>
      </c>
      <c r="E230" s="80">
        <f t="shared" si="38"/>
        <v>2725.2</v>
      </c>
      <c r="G230" s="86">
        <f t="shared" si="33"/>
        <v>227</v>
      </c>
      <c r="H230" s="80">
        <f t="shared" si="39"/>
        <v>3995.1</v>
      </c>
      <c r="I230" s="28"/>
      <c r="J230" s="86">
        <f t="shared" si="34"/>
        <v>227</v>
      </c>
      <c r="K230" s="80">
        <f t="shared" si="40"/>
        <v>4393.3999999999996</v>
      </c>
      <c r="M230" s="4">
        <v>200</v>
      </c>
      <c r="N230" s="5">
        <f t="shared" si="35"/>
        <v>729.1</v>
      </c>
    </row>
    <row r="231" spans="1:14" ht="16.5">
      <c r="A231" s="86">
        <f t="shared" si="36"/>
        <v>228</v>
      </c>
      <c r="B231" s="80">
        <f t="shared" si="37"/>
        <v>2736.7999999999997</v>
      </c>
      <c r="C231" s="249"/>
      <c r="D231" s="86">
        <f t="shared" si="32"/>
        <v>228</v>
      </c>
      <c r="E231" s="80">
        <f t="shared" si="38"/>
        <v>2736.7999999999997</v>
      </c>
      <c r="G231" s="86">
        <f t="shared" si="33"/>
        <v>228</v>
      </c>
      <c r="H231" s="80">
        <f t="shared" si="39"/>
        <v>4012.1</v>
      </c>
      <c r="I231" s="28"/>
      <c r="J231" s="86">
        <f t="shared" si="34"/>
        <v>228</v>
      </c>
      <c r="K231" s="80">
        <f t="shared" si="40"/>
        <v>4412.1000000000004</v>
      </c>
      <c r="M231" s="4">
        <v>200</v>
      </c>
      <c r="N231" s="5">
        <f t="shared" si="35"/>
        <v>732.1</v>
      </c>
    </row>
    <row r="232" spans="1:14" ht="16.5">
      <c r="A232" s="86">
        <f t="shared" si="36"/>
        <v>229</v>
      </c>
      <c r="B232" s="80">
        <f t="shared" si="37"/>
        <v>2748.4</v>
      </c>
      <c r="C232" s="249"/>
      <c r="D232" s="86">
        <f t="shared" si="32"/>
        <v>229</v>
      </c>
      <c r="E232" s="80">
        <f t="shared" si="38"/>
        <v>2748.4</v>
      </c>
      <c r="G232" s="86">
        <f t="shared" si="33"/>
        <v>229</v>
      </c>
      <c r="H232" s="80">
        <f t="shared" si="39"/>
        <v>4029.1</v>
      </c>
      <c r="I232" s="28"/>
      <c r="J232" s="86">
        <f t="shared" si="34"/>
        <v>229</v>
      </c>
      <c r="K232" s="80">
        <f t="shared" si="40"/>
        <v>4430.7999999999993</v>
      </c>
      <c r="M232" s="4">
        <v>200</v>
      </c>
      <c r="N232" s="5">
        <f t="shared" si="35"/>
        <v>735.1</v>
      </c>
    </row>
    <row r="233" spans="1:14" ht="16.5">
      <c r="A233" s="86">
        <f t="shared" si="36"/>
        <v>230</v>
      </c>
      <c r="B233" s="80">
        <f t="shared" si="37"/>
        <v>2760</v>
      </c>
      <c r="C233" s="249"/>
      <c r="D233" s="86">
        <f t="shared" si="32"/>
        <v>230</v>
      </c>
      <c r="E233" s="80">
        <f t="shared" si="38"/>
        <v>2760</v>
      </c>
      <c r="G233" s="86">
        <f t="shared" si="33"/>
        <v>230</v>
      </c>
      <c r="H233" s="80">
        <f t="shared" si="39"/>
        <v>4046.1</v>
      </c>
      <c r="I233" s="28"/>
      <c r="J233" s="86">
        <f t="shared" si="34"/>
        <v>230</v>
      </c>
      <c r="K233" s="80">
        <f t="shared" si="40"/>
        <v>4449.5</v>
      </c>
      <c r="M233" s="4">
        <v>200</v>
      </c>
      <c r="N233" s="5">
        <f t="shared" si="35"/>
        <v>738.1</v>
      </c>
    </row>
    <row r="234" spans="1:14" ht="16.5">
      <c r="A234" s="86">
        <f t="shared" si="36"/>
        <v>231</v>
      </c>
      <c r="B234" s="80">
        <f t="shared" si="37"/>
        <v>2771.6</v>
      </c>
      <c r="C234" s="249"/>
      <c r="D234" s="86">
        <f t="shared" si="32"/>
        <v>231</v>
      </c>
      <c r="E234" s="80">
        <f t="shared" si="38"/>
        <v>2771.6</v>
      </c>
      <c r="G234" s="86">
        <f t="shared" si="33"/>
        <v>231</v>
      </c>
      <c r="H234" s="80">
        <f t="shared" si="39"/>
        <v>4063.1</v>
      </c>
      <c r="I234" s="28"/>
      <c r="J234" s="86">
        <f t="shared" si="34"/>
        <v>231</v>
      </c>
      <c r="K234" s="80">
        <f t="shared" si="40"/>
        <v>4468.2</v>
      </c>
      <c r="M234" s="4">
        <v>200</v>
      </c>
      <c r="N234" s="5">
        <f t="shared" si="35"/>
        <v>741.1</v>
      </c>
    </row>
    <row r="235" spans="1:14" ht="16.5">
      <c r="A235" s="86">
        <f t="shared" si="36"/>
        <v>232</v>
      </c>
      <c r="B235" s="80">
        <f t="shared" si="37"/>
        <v>2783.2</v>
      </c>
      <c r="C235" s="249"/>
      <c r="D235" s="86">
        <f t="shared" si="32"/>
        <v>232</v>
      </c>
      <c r="E235" s="80">
        <f t="shared" si="38"/>
        <v>2783.2</v>
      </c>
      <c r="G235" s="86">
        <f t="shared" si="33"/>
        <v>232</v>
      </c>
      <c r="H235" s="80">
        <f t="shared" si="39"/>
        <v>4080.1</v>
      </c>
      <c r="I235" s="28"/>
      <c r="J235" s="86">
        <f t="shared" si="34"/>
        <v>232</v>
      </c>
      <c r="K235" s="80">
        <f t="shared" si="40"/>
        <v>4486.8999999999996</v>
      </c>
      <c r="M235" s="4">
        <v>200</v>
      </c>
      <c r="N235" s="5">
        <f t="shared" si="35"/>
        <v>744.1</v>
      </c>
    </row>
    <row r="236" spans="1:14" ht="16.5">
      <c r="A236" s="86">
        <f t="shared" si="36"/>
        <v>233</v>
      </c>
      <c r="B236" s="80">
        <f t="shared" si="37"/>
        <v>2794.7999999999997</v>
      </c>
      <c r="C236" s="249"/>
      <c r="D236" s="86">
        <f t="shared" si="32"/>
        <v>233</v>
      </c>
      <c r="E236" s="80">
        <f t="shared" si="38"/>
        <v>2794.7999999999997</v>
      </c>
      <c r="G236" s="86">
        <f t="shared" si="33"/>
        <v>233</v>
      </c>
      <c r="H236" s="80">
        <f t="shared" si="39"/>
        <v>4097.1000000000004</v>
      </c>
      <c r="I236" s="28"/>
      <c r="J236" s="86">
        <f t="shared" si="34"/>
        <v>233</v>
      </c>
      <c r="K236" s="80">
        <f t="shared" si="40"/>
        <v>4505.6000000000004</v>
      </c>
      <c r="M236" s="4">
        <v>200</v>
      </c>
      <c r="N236" s="5">
        <f t="shared" si="35"/>
        <v>747.1</v>
      </c>
    </row>
    <row r="237" spans="1:14" ht="16.5">
      <c r="A237" s="86">
        <f t="shared" si="36"/>
        <v>234</v>
      </c>
      <c r="B237" s="80">
        <f t="shared" si="37"/>
        <v>2806.4</v>
      </c>
      <c r="C237" s="249"/>
      <c r="D237" s="86">
        <f t="shared" si="32"/>
        <v>234</v>
      </c>
      <c r="E237" s="80">
        <f t="shared" si="38"/>
        <v>2806.4</v>
      </c>
      <c r="G237" s="86">
        <f t="shared" si="33"/>
        <v>234</v>
      </c>
      <c r="H237" s="80">
        <f t="shared" si="39"/>
        <v>4114.1000000000004</v>
      </c>
      <c r="I237" s="28"/>
      <c r="J237" s="86">
        <f t="shared" si="34"/>
        <v>234</v>
      </c>
      <c r="K237" s="80">
        <f t="shared" si="40"/>
        <v>4524.2999999999993</v>
      </c>
      <c r="M237" s="4">
        <v>200</v>
      </c>
      <c r="N237" s="5">
        <f t="shared" si="35"/>
        <v>750.1</v>
      </c>
    </row>
    <row r="238" spans="1:14" ht="16.5">
      <c r="A238" s="86">
        <f t="shared" si="36"/>
        <v>235</v>
      </c>
      <c r="B238" s="80">
        <f t="shared" si="37"/>
        <v>2818</v>
      </c>
      <c r="C238" s="249"/>
      <c r="D238" s="86">
        <f t="shared" si="32"/>
        <v>235</v>
      </c>
      <c r="E238" s="80">
        <f t="shared" si="38"/>
        <v>2818</v>
      </c>
      <c r="G238" s="86">
        <f t="shared" si="33"/>
        <v>235</v>
      </c>
      <c r="H238" s="80">
        <f t="shared" si="39"/>
        <v>4131.1000000000004</v>
      </c>
      <c r="I238" s="28"/>
      <c r="J238" s="86">
        <f t="shared" si="34"/>
        <v>235</v>
      </c>
      <c r="K238" s="80">
        <f t="shared" si="40"/>
        <v>4543</v>
      </c>
      <c r="M238" s="4">
        <v>200</v>
      </c>
      <c r="N238" s="5">
        <f t="shared" si="35"/>
        <v>753.1</v>
      </c>
    </row>
    <row r="239" spans="1:14" ht="16.5">
      <c r="A239" s="86">
        <f t="shared" si="36"/>
        <v>236</v>
      </c>
      <c r="B239" s="80">
        <f t="shared" si="37"/>
        <v>2829.6</v>
      </c>
      <c r="C239" s="249"/>
      <c r="D239" s="86">
        <f t="shared" si="32"/>
        <v>236</v>
      </c>
      <c r="E239" s="80">
        <f t="shared" si="38"/>
        <v>2829.6</v>
      </c>
      <c r="G239" s="86">
        <f t="shared" si="33"/>
        <v>236</v>
      </c>
      <c r="H239" s="80">
        <f t="shared" si="39"/>
        <v>4148.1000000000004</v>
      </c>
      <c r="I239" s="28"/>
      <c r="J239" s="86">
        <f t="shared" si="34"/>
        <v>236</v>
      </c>
      <c r="K239" s="80">
        <f t="shared" si="40"/>
        <v>4561.7</v>
      </c>
      <c r="M239" s="4">
        <v>200</v>
      </c>
      <c r="N239" s="5">
        <f t="shared" si="35"/>
        <v>756.1</v>
      </c>
    </row>
    <row r="240" spans="1:14" ht="16.5">
      <c r="A240" s="86">
        <f t="shared" si="36"/>
        <v>237</v>
      </c>
      <c r="B240" s="80">
        <f t="shared" si="37"/>
        <v>2841.2</v>
      </c>
      <c r="C240" s="249"/>
      <c r="D240" s="86">
        <f t="shared" si="32"/>
        <v>237</v>
      </c>
      <c r="E240" s="80">
        <f t="shared" si="38"/>
        <v>2841.2</v>
      </c>
      <c r="G240" s="86">
        <f t="shared" si="33"/>
        <v>237</v>
      </c>
      <c r="H240" s="80">
        <f t="shared" si="39"/>
        <v>4165.1000000000004</v>
      </c>
      <c r="I240" s="28"/>
      <c r="J240" s="86">
        <f t="shared" si="34"/>
        <v>237</v>
      </c>
      <c r="K240" s="80">
        <f t="shared" si="40"/>
        <v>4580.3999999999996</v>
      </c>
      <c r="M240" s="4">
        <v>200</v>
      </c>
      <c r="N240" s="5">
        <f t="shared" si="35"/>
        <v>759.1</v>
      </c>
    </row>
    <row r="241" spans="1:14" ht="16.5">
      <c r="A241" s="86">
        <f t="shared" si="36"/>
        <v>238</v>
      </c>
      <c r="B241" s="80">
        <f t="shared" si="37"/>
        <v>2852.7999999999997</v>
      </c>
      <c r="C241" s="249"/>
      <c r="D241" s="86">
        <f t="shared" si="32"/>
        <v>238</v>
      </c>
      <c r="E241" s="80">
        <f t="shared" si="38"/>
        <v>2852.7999999999997</v>
      </c>
      <c r="G241" s="86">
        <f t="shared" si="33"/>
        <v>238</v>
      </c>
      <c r="H241" s="80">
        <f t="shared" si="39"/>
        <v>4182.1000000000004</v>
      </c>
      <c r="I241" s="28"/>
      <c r="J241" s="86">
        <f t="shared" si="34"/>
        <v>238</v>
      </c>
      <c r="K241" s="80">
        <f t="shared" si="40"/>
        <v>4599.1000000000004</v>
      </c>
      <c r="M241" s="4">
        <v>200</v>
      </c>
      <c r="N241" s="5">
        <f t="shared" si="35"/>
        <v>762.1</v>
      </c>
    </row>
    <row r="242" spans="1:14" ht="16.5">
      <c r="A242" s="86">
        <f t="shared" si="36"/>
        <v>239</v>
      </c>
      <c r="B242" s="80">
        <f t="shared" si="37"/>
        <v>2864.4</v>
      </c>
      <c r="C242" s="249"/>
      <c r="D242" s="86">
        <f t="shared" si="32"/>
        <v>239</v>
      </c>
      <c r="E242" s="80">
        <f t="shared" si="38"/>
        <v>2864.4</v>
      </c>
      <c r="G242" s="86">
        <f t="shared" si="33"/>
        <v>239</v>
      </c>
      <c r="H242" s="80">
        <f t="shared" si="39"/>
        <v>4199.1000000000004</v>
      </c>
      <c r="I242" s="28"/>
      <c r="J242" s="86">
        <f t="shared" si="34"/>
        <v>239</v>
      </c>
      <c r="K242" s="80">
        <f t="shared" si="40"/>
        <v>4617.7999999999993</v>
      </c>
      <c r="M242" s="4">
        <v>200</v>
      </c>
      <c r="N242" s="5">
        <f t="shared" si="35"/>
        <v>765.1</v>
      </c>
    </row>
    <row r="243" spans="1:14" ht="16.5">
      <c r="A243" s="86">
        <f t="shared" si="36"/>
        <v>240</v>
      </c>
      <c r="B243" s="80">
        <f t="shared" si="37"/>
        <v>2876</v>
      </c>
      <c r="C243" s="249"/>
      <c r="D243" s="86">
        <f t="shared" si="32"/>
        <v>240</v>
      </c>
      <c r="E243" s="80">
        <f t="shared" si="38"/>
        <v>2876</v>
      </c>
      <c r="G243" s="86">
        <f t="shared" si="33"/>
        <v>240</v>
      </c>
      <c r="H243" s="80">
        <f t="shared" si="39"/>
        <v>4216.1000000000004</v>
      </c>
      <c r="I243" s="28"/>
      <c r="J243" s="86">
        <f t="shared" si="34"/>
        <v>240</v>
      </c>
      <c r="K243" s="80">
        <f t="shared" si="40"/>
        <v>4636.5</v>
      </c>
      <c r="M243" s="4">
        <v>200</v>
      </c>
      <c r="N243" s="5">
        <f t="shared" si="35"/>
        <v>768.1</v>
      </c>
    </row>
    <row r="244" spans="1:14" ht="16.5">
      <c r="A244" s="86">
        <f t="shared" si="36"/>
        <v>241</v>
      </c>
      <c r="B244" s="80">
        <f t="shared" si="37"/>
        <v>2887.6</v>
      </c>
      <c r="C244" s="249"/>
      <c r="D244" s="86">
        <f t="shared" si="32"/>
        <v>241</v>
      </c>
      <c r="E244" s="80">
        <f t="shared" si="38"/>
        <v>2887.6</v>
      </c>
      <c r="G244" s="86">
        <f t="shared" si="33"/>
        <v>241</v>
      </c>
      <c r="H244" s="80">
        <f t="shared" si="39"/>
        <v>4233.1000000000004</v>
      </c>
      <c r="I244" s="28"/>
      <c r="J244" s="86">
        <f t="shared" si="34"/>
        <v>241</v>
      </c>
      <c r="K244" s="80">
        <f t="shared" si="40"/>
        <v>4655.2</v>
      </c>
      <c r="M244" s="4">
        <v>200</v>
      </c>
      <c r="N244" s="5">
        <f t="shared" si="35"/>
        <v>771.1</v>
      </c>
    </row>
    <row r="245" spans="1:14" ht="16.5">
      <c r="A245" s="86">
        <f t="shared" si="36"/>
        <v>242</v>
      </c>
      <c r="B245" s="80">
        <f t="shared" si="37"/>
        <v>2899.2</v>
      </c>
      <c r="C245" s="249"/>
      <c r="D245" s="86">
        <f t="shared" si="32"/>
        <v>242</v>
      </c>
      <c r="E245" s="80">
        <f t="shared" si="38"/>
        <v>2899.2</v>
      </c>
      <c r="G245" s="86">
        <f t="shared" si="33"/>
        <v>242</v>
      </c>
      <c r="H245" s="80">
        <f t="shared" si="39"/>
        <v>4250.1000000000004</v>
      </c>
      <c r="I245" s="28"/>
      <c r="J245" s="86">
        <f t="shared" si="34"/>
        <v>242</v>
      </c>
      <c r="K245" s="80">
        <f t="shared" si="40"/>
        <v>4673.8999999999996</v>
      </c>
      <c r="M245" s="4">
        <v>200</v>
      </c>
      <c r="N245" s="5">
        <f t="shared" si="35"/>
        <v>774.1</v>
      </c>
    </row>
    <row r="246" spans="1:14" ht="16.5">
      <c r="A246" s="86">
        <f t="shared" si="36"/>
        <v>243</v>
      </c>
      <c r="B246" s="80">
        <f t="shared" si="37"/>
        <v>2910.7999999999997</v>
      </c>
      <c r="C246" s="249"/>
      <c r="D246" s="86">
        <f t="shared" si="32"/>
        <v>243</v>
      </c>
      <c r="E246" s="80">
        <f t="shared" si="38"/>
        <v>2910.7999999999997</v>
      </c>
      <c r="G246" s="86">
        <f t="shared" si="33"/>
        <v>243</v>
      </c>
      <c r="H246" s="80">
        <f t="shared" si="39"/>
        <v>4267.1000000000004</v>
      </c>
      <c r="I246" s="28"/>
      <c r="J246" s="86">
        <f t="shared" si="34"/>
        <v>243</v>
      </c>
      <c r="K246" s="80">
        <f t="shared" si="40"/>
        <v>4692.6000000000004</v>
      </c>
      <c r="M246" s="4">
        <v>200</v>
      </c>
      <c r="N246" s="5">
        <f t="shared" si="35"/>
        <v>777.1</v>
      </c>
    </row>
    <row r="247" spans="1:14" ht="16.5">
      <c r="A247" s="86">
        <f t="shared" si="36"/>
        <v>244</v>
      </c>
      <c r="B247" s="80">
        <f t="shared" si="37"/>
        <v>2922.4</v>
      </c>
      <c r="C247" s="249"/>
      <c r="D247" s="86">
        <f t="shared" si="32"/>
        <v>244</v>
      </c>
      <c r="E247" s="80">
        <f t="shared" si="38"/>
        <v>2922.4</v>
      </c>
      <c r="G247" s="86">
        <f t="shared" si="33"/>
        <v>244</v>
      </c>
      <c r="H247" s="80">
        <f t="shared" si="39"/>
        <v>4284.1000000000004</v>
      </c>
      <c r="I247" s="28"/>
      <c r="J247" s="86">
        <f t="shared" si="34"/>
        <v>244</v>
      </c>
      <c r="K247" s="80">
        <f t="shared" si="40"/>
        <v>4711.2999999999993</v>
      </c>
      <c r="M247" s="4">
        <v>200</v>
      </c>
      <c r="N247" s="5">
        <f t="shared" si="35"/>
        <v>780.1</v>
      </c>
    </row>
    <row r="248" spans="1:14" ht="16.5">
      <c r="A248" s="86">
        <f t="shared" si="36"/>
        <v>245</v>
      </c>
      <c r="B248" s="80">
        <f t="shared" si="37"/>
        <v>2934</v>
      </c>
      <c r="C248" s="249"/>
      <c r="D248" s="86">
        <f t="shared" si="32"/>
        <v>245</v>
      </c>
      <c r="E248" s="80">
        <f t="shared" si="38"/>
        <v>2934</v>
      </c>
      <c r="G248" s="86">
        <f t="shared" si="33"/>
        <v>245</v>
      </c>
      <c r="H248" s="80">
        <f t="shared" si="39"/>
        <v>4301.1000000000004</v>
      </c>
      <c r="I248" s="28"/>
      <c r="J248" s="86">
        <f t="shared" si="34"/>
        <v>245</v>
      </c>
      <c r="K248" s="80">
        <f t="shared" si="40"/>
        <v>4730</v>
      </c>
      <c r="M248" s="4">
        <v>200</v>
      </c>
      <c r="N248" s="5">
        <f t="shared" si="35"/>
        <v>783.1</v>
      </c>
    </row>
    <row r="249" spans="1:14" ht="16.5">
      <c r="A249" s="86">
        <f t="shared" si="36"/>
        <v>246</v>
      </c>
      <c r="B249" s="80">
        <f t="shared" si="37"/>
        <v>2945.6</v>
      </c>
      <c r="C249" s="249"/>
      <c r="D249" s="86">
        <f t="shared" si="32"/>
        <v>246</v>
      </c>
      <c r="E249" s="80">
        <f t="shared" si="38"/>
        <v>2945.6</v>
      </c>
      <c r="G249" s="86">
        <f t="shared" si="33"/>
        <v>246</v>
      </c>
      <c r="H249" s="80">
        <f t="shared" si="39"/>
        <v>4318.1000000000004</v>
      </c>
      <c r="I249" s="28"/>
      <c r="J249" s="86">
        <f t="shared" si="34"/>
        <v>246</v>
      </c>
      <c r="K249" s="80">
        <f t="shared" si="40"/>
        <v>4748.7</v>
      </c>
      <c r="M249" s="4">
        <v>200</v>
      </c>
      <c r="N249" s="5">
        <f t="shared" si="35"/>
        <v>786.1</v>
      </c>
    </row>
    <row r="250" spans="1:14" ht="16.5">
      <c r="A250" s="86">
        <f t="shared" si="36"/>
        <v>247</v>
      </c>
      <c r="B250" s="80">
        <f t="shared" si="37"/>
        <v>2957.2</v>
      </c>
      <c r="C250" s="249"/>
      <c r="D250" s="86">
        <f t="shared" si="32"/>
        <v>247</v>
      </c>
      <c r="E250" s="80">
        <f t="shared" si="38"/>
        <v>2957.2</v>
      </c>
      <c r="G250" s="86">
        <f t="shared" si="33"/>
        <v>247</v>
      </c>
      <c r="H250" s="80">
        <f t="shared" si="39"/>
        <v>4335.1000000000004</v>
      </c>
      <c r="I250" s="28"/>
      <c r="J250" s="86">
        <f t="shared" si="34"/>
        <v>247</v>
      </c>
      <c r="K250" s="80">
        <f t="shared" si="40"/>
        <v>4767.3999999999996</v>
      </c>
      <c r="M250" s="4">
        <v>200</v>
      </c>
      <c r="N250" s="5">
        <f t="shared" si="35"/>
        <v>789.1</v>
      </c>
    </row>
    <row r="251" spans="1:14" ht="16.5">
      <c r="A251" s="86">
        <f t="shared" si="36"/>
        <v>248</v>
      </c>
      <c r="B251" s="80">
        <f t="shared" si="37"/>
        <v>2968.7999999999997</v>
      </c>
      <c r="C251" s="249"/>
      <c r="D251" s="86">
        <f t="shared" si="32"/>
        <v>248</v>
      </c>
      <c r="E251" s="80">
        <f t="shared" si="38"/>
        <v>2968.7999999999997</v>
      </c>
      <c r="G251" s="86">
        <f t="shared" si="33"/>
        <v>248</v>
      </c>
      <c r="H251" s="80">
        <f t="shared" si="39"/>
        <v>4352.1000000000004</v>
      </c>
      <c r="I251" s="28"/>
      <c r="J251" s="86">
        <f t="shared" si="34"/>
        <v>248</v>
      </c>
      <c r="K251" s="80">
        <f t="shared" si="40"/>
        <v>4786.1000000000004</v>
      </c>
      <c r="M251" s="4">
        <v>200</v>
      </c>
      <c r="N251" s="5">
        <f t="shared" si="35"/>
        <v>792.1</v>
      </c>
    </row>
    <row r="252" spans="1:14" ht="16.5">
      <c r="A252" s="86">
        <f t="shared" si="36"/>
        <v>249</v>
      </c>
      <c r="B252" s="80">
        <f t="shared" si="37"/>
        <v>2980.4</v>
      </c>
      <c r="C252" s="249"/>
      <c r="D252" s="86">
        <f t="shared" si="32"/>
        <v>249</v>
      </c>
      <c r="E252" s="80">
        <f t="shared" si="38"/>
        <v>2980.4</v>
      </c>
      <c r="G252" s="86">
        <f t="shared" si="33"/>
        <v>249</v>
      </c>
      <c r="H252" s="80">
        <f t="shared" si="39"/>
        <v>4369.1000000000004</v>
      </c>
      <c r="I252" s="28"/>
      <c r="J252" s="86">
        <f t="shared" si="34"/>
        <v>249</v>
      </c>
      <c r="K252" s="80">
        <f t="shared" si="40"/>
        <v>4804.7999999999993</v>
      </c>
      <c r="M252" s="4">
        <v>200</v>
      </c>
      <c r="N252" s="5">
        <f t="shared" si="35"/>
        <v>795.1</v>
      </c>
    </row>
    <row r="253" spans="1:14" ht="16.5">
      <c r="A253" s="86">
        <f t="shared" si="36"/>
        <v>250</v>
      </c>
      <c r="B253" s="80">
        <f t="shared" si="37"/>
        <v>2992</v>
      </c>
      <c r="C253" s="249"/>
      <c r="D253" s="86">
        <f t="shared" si="32"/>
        <v>250</v>
      </c>
      <c r="E253" s="80">
        <f t="shared" si="38"/>
        <v>2992</v>
      </c>
      <c r="G253" s="86">
        <f t="shared" si="33"/>
        <v>250</v>
      </c>
      <c r="H253" s="80">
        <f t="shared" si="39"/>
        <v>4386.1000000000004</v>
      </c>
      <c r="I253" s="28"/>
      <c r="J253" s="86">
        <f t="shared" si="34"/>
        <v>250</v>
      </c>
      <c r="K253" s="80">
        <f t="shared" si="40"/>
        <v>4823.5</v>
      </c>
      <c r="M253" s="4">
        <v>200</v>
      </c>
      <c r="N253" s="5">
        <f t="shared" si="35"/>
        <v>798.1</v>
      </c>
    </row>
    <row r="254" spans="1:14" ht="16.5">
      <c r="A254" s="86">
        <f t="shared" si="36"/>
        <v>251</v>
      </c>
      <c r="B254" s="80">
        <f t="shared" si="37"/>
        <v>3003.6</v>
      </c>
      <c r="C254" s="249"/>
      <c r="D254" s="86">
        <f t="shared" si="32"/>
        <v>251</v>
      </c>
      <c r="E254" s="80">
        <f t="shared" si="38"/>
        <v>3003.6</v>
      </c>
      <c r="G254" s="86">
        <f t="shared" si="33"/>
        <v>251</v>
      </c>
      <c r="H254" s="80">
        <f t="shared" si="39"/>
        <v>4403.1000000000004</v>
      </c>
      <c r="I254" s="28"/>
      <c r="J254" s="86">
        <f t="shared" si="34"/>
        <v>251</v>
      </c>
      <c r="K254" s="80">
        <f t="shared" si="40"/>
        <v>4842.2</v>
      </c>
      <c r="M254" s="4">
        <v>200</v>
      </c>
      <c r="N254" s="5">
        <f t="shared" si="35"/>
        <v>801.1</v>
      </c>
    </row>
    <row r="255" spans="1:14" ht="16.5">
      <c r="A255" s="86">
        <f t="shared" si="36"/>
        <v>252</v>
      </c>
      <c r="B255" s="80">
        <f t="shared" si="37"/>
        <v>3015.2</v>
      </c>
      <c r="C255" s="249"/>
      <c r="D255" s="86">
        <f t="shared" si="32"/>
        <v>252</v>
      </c>
      <c r="E255" s="80">
        <f t="shared" si="38"/>
        <v>3015.2</v>
      </c>
      <c r="G255" s="86">
        <f t="shared" si="33"/>
        <v>252</v>
      </c>
      <c r="H255" s="80">
        <f t="shared" si="39"/>
        <v>4420.1000000000004</v>
      </c>
      <c r="I255" s="28"/>
      <c r="J255" s="86">
        <f t="shared" si="34"/>
        <v>252</v>
      </c>
      <c r="K255" s="80">
        <f t="shared" si="40"/>
        <v>4860.8999999999996</v>
      </c>
      <c r="M255" s="4">
        <v>200</v>
      </c>
      <c r="N255" s="5">
        <f t="shared" si="35"/>
        <v>804.1</v>
      </c>
    </row>
    <row r="256" spans="1:14" ht="16.5">
      <c r="A256" s="86">
        <f t="shared" si="36"/>
        <v>253</v>
      </c>
      <c r="B256" s="80">
        <f t="shared" si="37"/>
        <v>3026.7999999999997</v>
      </c>
      <c r="C256" s="249"/>
      <c r="D256" s="86">
        <f t="shared" si="32"/>
        <v>253</v>
      </c>
      <c r="E256" s="80">
        <f t="shared" si="38"/>
        <v>3026.7999999999997</v>
      </c>
      <c r="G256" s="86">
        <f t="shared" si="33"/>
        <v>253</v>
      </c>
      <c r="H256" s="80">
        <f t="shared" si="39"/>
        <v>4437.1000000000004</v>
      </c>
      <c r="I256" s="28"/>
      <c r="J256" s="86">
        <f t="shared" si="34"/>
        <v>253</v>
      </c>
      <c r="K256" s="80">
        <f t="shared" si="40"/>
        <v>4879.5999999999995</v>
      </c>
      <c r="M256" s="4">
        <v>200</v>
      </c>
      <c r="N256" s="5">
        <f t="shared" si="35"/>
        <v>807.1</v>
      </c>
    </row>
    <row r="257" spans="1:14" ht="16.5">
      <c r="A257" s="86">
        <f t="shared" si="36"/>
        <v>254</v>
      </c>
      <c r="B257" s="80">
        <f t="shared" si="37"/>
        <v>3038.4</v>
      </c>
      <c r="C257" s="249"/>
      <c r="D257" s="86">
        <f t="shared" si="32"/>
        <v>254</v>
      </c>
      <c r="E257" s="80">
        <f t="shared" si="38"/>
        <v>3038.4</v>
      </c>
      <c r="G257" s="86">
        <f t="shared" si="33"/>
        <v>254</v>
      </c>
      <c r="H257" s="80">
        <f t="shared" si="39"/>
        <v>4454.1000000000004</v>
      </c>
      <c r="I257" s="28"/>
      <c r="J257" s="86">
        <f t="shared" si="34"/>
        <v>254</v>
      </c>
      <c r="K257" s="80">
        <f t="shared" si="40"/>
        <v>4898.3</v>
      </c>
      <c r="M257" s="4">
        <v>200</v>
      </c>
      <c r="N257" s="5">
        <f t="shared" si="35"/>
        <v>810.1</v>
      </c>
    </row>
    <row r="258" spans="1:14" ht="16.5">
      <c r="A258" s="86">
        <f t="shared" si="36"/>
        <v>255</v>
      </c>
      <c r="B258" s="80">
        <f t="shared" si="37"/>
        <v>3050</v>
      </c>
      <c r="C258" s="249"/>
      <c r="D258" s="86">
        <f t="shared" si="32"/>
        <v>255</v>
      </c>
      <c r="E258" s="80">
        <f t="shared" si="38"/>
        <v>3050</v>
      </c>
      <c r="G258" s="86">
        <f t="shared" si="33"/>
        <v>255</v>
      </c>
      <c r="H258" s="80">
        <f t="shared" si="39"/>
        <v>4471.1000000000004</v>
      </c>
      <c r="I258" s="28"/>
      <c r="J258" s="86">
        <f t="shared" si="34"/>
        <v>255</v>
      </c>
      <c r="K258" s="80">
        <f t="shared" si="40"/>
        <v>4917</v>
      </c>
      <c r="M258" s="4">
        <v>200</v>
      </c>
      <c r="N258" s="5">
        <f t="shared" si="35"/>
        <v>813.1</v>
      </c>
    </row>
    <row r="259" spans="1:14" ht="16.5">
      <c r="A259" s="86">
        <f t="shared" si="36"/>
        <v>256</v>
      </c>
      <c r="B259" s="80">
        <f t="shared" si="37"/>
        <v>3061.6</v>
      </c>
      <c r="C259" s="249"/>
      <c r="D259" s="86">
        <f t="shared" si="32"/>
        <v>256</v>
      </c>
      <c r="E259" s="80">
        <f t="shared" si="38"/>
        <v>3061.6</v>
      </c>
      <c r="G259" s="86">
        <f t="shared" si="33"/>
        <v>256</v>
      </c>
      <c r="H259" s="80">
        <f t="shared" si="39"/>
        <v>4488.1000000000004</v>
      </c>
      <c r="I259" s="28"/>
      <c r="J259" s="86">
        <f t="shared" si="34"/>
        <v>256</v>
      </c>
      <c r="K259" s="80">
        <f t="shared" si="40"/>
        <v>4935.7</v>
      </c>
      <c r="M259" s="4">
        <v>200</v>
      </c>
      <c r="N259" s="5">
        <f t="shared" si="35"/>
        <v>816.1</v>
      </c>
    </row>
    <row r="260" spans="1:14" ht="16.5">
      <c r="A260" s="86">
        <f t="shared" si="36"/>
        <v>257</v>
      </c>
      <c r="B260" s="80">
        <f t="shared" si="37"/>
        <v>3073.2</v>
      </c>
      <c r="C260" s="249"/>
      <c r="D260" s="86">
        <f t="shared" si="32"/>
        <v>257</v>
      </c>
      <c r="E260" s="80">
        <f t="shared" si="38"/>
        <v>3073.2</v>
      </c>
      <c r="G260" s="86">
        <f t="shared" si="33"/>
        <v>257</v>
      </c>
      <c r="H260" s="80">
        <f t="shared" si="39"/>
        <v>4505.1000000000004</v>
      </c>
      <c r="I260" s="28"/>
      <c r="J260" s="86">
        <f t="shared" si="34"/>
        <v>257</v>
      </c>
      <c r="K260" s="80">
        <f t="shared" si="40"/>
        <v>4954.3999999999996</v>
      </c>
      <c r="M260" s="4">
        <v>200</v>
      </c>
      <c r="N260" s="5">
        <f t="shared" si="35"/>
        <v>819.1</v>
      </c>
    </row>
    <row r="261" spans="1:14" ht="16.5">
      <c r="A261" s="86">
        <f t="shared" si="36"/>
        <v>258</v>
      </c>
      <c r="B261" s="80">
        <f t="shared" si="37"/>
        <v>3084.7999999999997</v>
      </c>
      <c r="C261" s="249"/>
      <c r="D261" s="86">
        <f t="shared" ref="D261:D303" si="41">D260+1</f>
        <v>258</v>
      </c>
      <c r="E261" s="80">
        <f t="shared" si="38"/>
        <v>3084.7999999999997</v>
      </c>
      <c r="G261" s="86">
        <f t="shared" si="33"/>
        <v>258</v>
      </c>
      <c r="H261" s="80">
        <f t="shared" si="39"/>
        <v>4522.1000000000004</v>
      </c>
      <c r="I261" s="28"/>
      <c r="J261" s="86">
        <f t="shared" si="34"/>
        <v>258</v>
      </c>
      <c r="K261" s="80">
        <f t="shared" si="40"/>
        <v>4973.0999999999995</v>
      </c>
      <c r="M261" s="4">
        <v>200</v>
      </c>
      <c r="N261" s="5">
        <f t="shared" si="35"/>
        <v>822.1</v>
      </c>
    </row>
    <row r="262" spans="1:14" ht="16.5">
      <c r="A262" s="86">
        <f t="shared" si="36"/>
        <v>259</v>
      </c>
      <c r="B262" s="80">
        <f t="shared" si="37"/>
        <v>3096.4</v>
      </c>
      <c r="C262" s="249"/>
      <c r="D262" s="86">
        <f t="shared" si="41"/>
        <v>259</v>
      </c>
      <c r="E262" s="80">
        <f t="shared" si="38"/>
        <v>3096.4</v>
      </c>
      <c r="G262" s="86">
        <f t="shared" ref="G262:G303" si="42">G261+1</f>
        <v>259</v>
      </c>
      <c r="H262" s="80">
        <f t="shared" si="39"/>
        <v>4539.1000000000004</v>
      </c>
      <c r="I262" s="28"/>
      <c r="J262" s="86">
        <f t="shared" ref="J262:J303" si="43">J261+1</f>
        <v>259</v>
      </c>
      <c r="K262" s="80">
        <f t="shared" si="40"/>
        <v>4991.8</v>
      </c>
      <c r="M262" s="4">
        <v>200</v>
      </c>
      <c r="N262" s="5">
        <f t="shared" si="35"/>
        <v>825.1</v>
      </c>
    </row>
    <row r="263" spans="1:14" ht="16.5">
      <c r="A263" s="86">
        <f t="shared" si="36"/>
        <v>260</v>
      </c>
      <c r="B263" s="80">
        <f t="shared" si="37"/>
        <v>3108</v>
      </c>
      <c r="C263" s="249"/>
      <c r="D263" s="86">
        <f t="shared" si="41"/>
        <v>260</v>
      </c>
      <c r="E263" s="80">
        <f t="shared" si="38"/>
        <v>3108</v>
      </c>
      <c r="G263" s="86">
        <f t="shared" si="42"/>
        <v>260</v>
      </c>
      <c r="H263" s="80">
        <f t="shared" si="39"/>
        <v>4556.1000000000004</v>
      </c>
      <c r="I263" s="28"/>
      <c r="J263" s="86">
        <f t="shared" si="43"/>
        <v>260</v>
      </c>
      <c r="K263" s="80">
        <f t="shared" si="40"/>
        <v>5010.5</v>
      </c>
      <c r="M263" s="4">
        <v>200</v>
      </c>
      <c r="N263" s="5">
        <f t="shared" si="35"/>
        <v>828.1</v>
      </c>
    </row>
    <row r="264" spans="1:14" ht="16.5">
      <c r="A264" s="86">
        <f t="shared" si="36"/>
        <v>261</v>
      </c>
      <c r="B264" s="80">
        <f t="shared" si="37"/>
        <v>3119.6</v>
      </c>
      <c r="C264" s="249"/>
      <c r="D264" s="86">
        <f t="shared" si="41"/>
        <v>261</v>
      </c>
      <c r="E264" s="80">
        <f t="shared" si="38"/>
        <v>3119.6</v>
      </c>
      <c r="G264" s="86">
        <f t="shared" si="42"/>
        <v>261</v>
      </c>
      <c r="H264" s="80">
        <f t="shared" si="39"/>
        <v>4573.1000000000004</v>
      </c>
      <c r="I264" s="28"/>
      <c r="J264" s="86">
        <f t="shared" si="43"/>
        <v>261</v>
      </c>
      <c r="K264" s="80">
        <f t="shared" si="40"/>
        <v>5029.2</v>
      </c>
      <c r="M264" s="4">
        <v>200</v>
      </c>
      <c r="N264" s="5">
        <f t="shared" si="35"/>
        <v>831.1</v>
      </c>
    </row>
    <row r="265" spans="1:14" ht="16.5">
      <c r="A265" s="86">
        <f t="shared" si="36"/>
        <v>262</v>
      </c>
      <c r="B265" s="80">
        <f t="shared" si="37"/>
        <v>3131.2</v>
      </c>
      <c r="C265" s="249"/>
      <c r="D265" s="86">
        <f t="shared" si="41"/>
        <v>262</v>
      </c>
      <c r="E265" s="80">
        <f t="shared" si="38"/>
        <v>3131.2</v>
      </c>
      <c r="G265" s="86">
        <f t="shared" si="42"/>
        <v>262</v>
      </c>
      <c r="H265" s="80">
        <f t="shared" si="39"/>
        <v>4590.1000000000004</v>
      </c>
      <c r="I265" s="28"/>
      <c r="J265" s="86">
        <f t="shared" si="43"/>
        <v>262</v>
      </c>
      <c r="K265" s="80">
        <f t="shared" si="40"/>
        <v>5047.8999999999996</v>
      </c>
      <c r="M265" s="4">
        <v>200</v>
      </c>
      <c r="N265" s="5">
        <f t="shared" ref="N265:N301" si="44">N264+3</f>
        <v>834.1</v>
      </c>
    </row>
    <row r="266" spans="1:14" ht="16.5">
      <c r="A266" s="86">
        <f t="shared" si="36"/>
        <v>263</v>
      </c>
      <c r="B266" s="80">
        <f t="shared" si="37"/>
        <v>3142.7999999999997</v>
      </c>
      <c r="C266" s="249"/>
      <c r="D266" s="86">
        <f t="shared" si="41"/>
        <v>263</v>
      </c>
      <c r="E266" s="80">
        <f t="shared" si="38"/>
        <v>3142.7999999999997</v>
      </c>
      <c r="G266" s="86">
        <f t="shared" si="42"/>
        <v>263</v>
      </c>
      <c r="H266" s="80">
        <f t="shared" si="39"/>
        <v>4607.1000000000004</v>
      </c>
      <c r="I266" s="28"/>
      <c r="J266" s="86">
        <f t="shared" si="43"/>
        <v>263</v>
      </c>
      <c r="K266" s="80">
        <f t="shared" si="40"/>
        <v>5066.5999999999995</v>
      </c>
      <c r="M266" s="4">
        <v>200</v>
      </c>
      <c r="N266" s="5">
        <f t="shared" si="44"/>
        <v>837.1</v>
      </c>
    </row>
    <row r="267" spans="1:14" ht="16.5">
      <c r="A267" s="86">
        <f t="shared" si="36"/>
        <v>264</v>
      </c>
      <c r="B267" s="80">
        <f t="shared" si="37"/>
        <v>3154.4</v>
      </c>
      <c r="C267" s="249"/>
      <c r="D267" s="86">
        <f t="shared" si="41"/>
        <v>264</v>
      </c>
      <c r="E267" s="80">
        <f t="shared" si="38"/>
        <v>3154.4</v>
      </c>
      <c r="G267" s="86">
        <f t="shared" si="42"/>
        <v>264</v>
      </c>
      <c r="H267" s="80">
        <f t="shared" si="39"/>
        <v>4624.1000000000004</v>
      </c>
      <c r="I267" s="28"/>
      <c r="J267" s="86">
        <f t="shared" si="43"/>
        <v>264</v>
      </c>
      <c r="K267" s="80">
        <f t="shared" si="40"/>
        <v>5085.3</v>
      </c>
      <c r="M267" s="4">
        <v>200</v>
      </c>
      <c r="N267" s="5">
        <f t="shared" si="44"/>
        <v>840.1</v>
      </c>
    </row>
    <row r="268" spans="1:14" ht="16.5">
      <c r="A268" s="86">
        <f t="shared" si="36"/>
        <v>265</v>
      </c>
      <c r="B268" s="80">
        <f t="shared" si="37"/>
        <v>3166</v>
      </c>
      <c r="C268" s="249"/>
      <c r="D268" s="86">
        <f t="shared" si="41"/>
        <v>265</v>
      </c>
      <c r="E268" s="80">
        <f t="shared" si="38"/>
        <v>3166</v>
      </c>
      <c r="G268" s="86">
        <f t="shared" si="42"/>
        <v>265</v>
      </c>
      <c r="H268" s="80">
        <f t="shared" si="39"/>
        <v>4641.1000000000004</v>
      </c>
      <c r="I268" s="28"/>
      <c r="J268" s="86">
        <f t="shared" si="43"/>
        <v>265</v>
      </c>
      <c r="K268" s="80">
        <f t="shared" si="40"/>
        <v>5104</v>
      </c>
      <c r="M268" s="4">
        <v>200</v>
      </c>
      <c r="N268" s="5">
        <f t="shared" si="44"/>
        <v>843.1</v>
      </c>
    </row>
    <row r="269" spans="1:14" ht="16.5">
      <c r="A269" s="86">
        <f t="shared" si="36"/>
        <v>266</v>
      </c>
      <c r="B269" s="80">
        <f t="shared" si="37"/>
        <v>3177.6</v>
      </c>
      <c r="C269" s="249"/>
      <c r="D269" s="86">
        <f t="shared" si="41"/>
        <v>266</v>
      </c>
      <c r="E269" s="80">
        <f t="shared" si="38"/>
        <v>3177.6</v>
      </c>
      <c r="G269" s="86">
        <f t="shared" si="42"/>
        <v>266</v>
      </c>
      <c r="H269" s="80">
        <f t="shared" si="39"/>
        <v>4658.1000000000004</v>
      </c>
      <c r="I269" s="28"/>
      <c r="J269" s="86">
        <f t="shared" si="43"/>
        <v>266</v>
      </c>
      <c r="K269" s="80">
        <f t="shared" si="40"/>
        <v>5122.7</v>
      </c>
      <c r="M269" s="4">
        <v>200</v>
      </c>
      <c r="N269" s="5">
        <f t="shared" si="44"/>
        <v>846.1</v>
      </c>
    </row>
    <row r="270" spans="1:14" ht="16.5">
      <c r="A270" s="86">
        <f t="shared" si="36"/>
        <v>267</v>
      </c>
      <c r="B270" s="80">
        <f t="shared" si="37"/>
        <v>3189.2</v>
      </c>
      <c r="C270" s="249"/>
      <c r="D270" s="86">
        <f t="shared" si="41"/>
        <v>267</v>
      </c>
      <c r="E270" s="80">
        <f t="shared" si="38"/>
        <v>3189.2</v>
      </c>
      <c r="G270" s="86">
        <f t="shared" si="42"/>
        <v>267</v>
      </c>
      <c r="H270" s="80">
        <f t="shared" si="39"/>
        <v>4675.1000000000004</v>
      </c>
      <c r="I270" s="28"/>
      <c r="J270" s="86">
        <f t="shared" si="43"/>
        <v>267</v>
      </c>
      <c r="K270" s="80">
        <f t="shared" si="40"/>
        <v>5141.3999999999996</v>
      </c>
      <c r="M270" s="4">
        <v>200</v>
      </c>
      <c r="N270" s="5">
        <f t="shared" si="44"/>
        <v>849.1</v>
      </c>
    </row>
    <row r="271" spans="1:14" ht="16.5">
      <c r="A271" s="86">
        <f t="shared" si="36"/>
        <v>268</v>
      </c>
      <c r="B271" s="80">
        <f t="shared" si="37"/>
        <v>3200.7999999999997</v>
      </c>
      <c r="C271" s="249"/>
      <c r="D271" s="86">
        <f t="shared" si="41"/>
        <v>268</v>
      </c>
      <c r="E271" s="80">
        <f t="shared" si="38"/>
        <v>3200.7999999999997</v>
      </c>
      <c r="G271" s="86">
        <f t="shared" si="42"/>
        <v>268</v>
      </c>
      <c r="H271" s="80">
        <f t="shared" si="39"/>
        <v>4692.1000000000004</v>
      </c>
      <c r="I271" s="28"/>
      <c r="J271" s="86">
        <f t="shared" si="43"/>
        <v>268</v>
      </c>
      <c r="K271" s="80">
        <f t="shared" si="40"/>
        <v>5160.0999999999995</v>
      </c>
      <c r="M271" s="4">
        <v>200</v>
      </c>
      <c r="N271" s="5">
        <f t="shared" si="44"/>
        <v>852.1</v>
      </c>
    </row>
    <row r="272" spans="1:14" ht="16.5">
      <c r="A272" s="86">
        <f t="shared" si="36"/>
        <v>269</v>
      </c>
      <c r="B272" s="80">
        <f t="shared" si="37"/>
        <v>3212.4</v>
      </c>
      <c r="C272" s="249"/>
      <c r="D272" s="86">
        <f t="shared" si="41"/>
        <v>269</v>
      </c>
      <c r="E272" s="80">
        <f t="shared" si="38"/>
        <v>3212.4</v>
      </c>
      <c r="G272" s="86">
        <f t="shared" si="42"/>
        <v>269</v>
      </c>
      <c r="H272" s="80">
        <f t="shared" si="39"/>
        <v>4709.1000000000004</v>
      </c>
      <c r="I272" s="28"/>
      <c r="J272" s="86">
        <f t="shared" si="43"/>
        <v>269</v>
      </c>
      <c r="K272" s="80">
        <f t="shared" si="40"/>
        <v>5178.8</v>
      </c>
      <c r="M272" s="4">
        <v>200</v>
      </c>
      <c r="N272" s="5">
        <f t="shared" si="44"/>
        <v>855.1</v>
      </c>
    </row>
    <row r="273" spans="1:14" ht="16.5">
      <c r="A273" s="86">
        <f t="shared" si="36"/>
        <v>270</v>
      </c>
      <c r="B273" s="80">
        <f t="shared" si="37"/>
        <v>3224</v>
      </c>
      <c r="C273" s="249"/>
      <c r="D273" s="86">
        <f t="shared" si="41"/>
        <v>270</v>
      </c>
      <c r="E273" s="80">
        <f t="shared" si="38"/>
        <v>3224</v>
      </c>
      <c r="G273" s="86">
        <f t="shared" si="42"/>
        <v>270</v>
      </c>
      <c r="H273" s="80">
        <f t="shared" si="39"/>
        <v>4726.1000000000004</v>
      </c>
      <c r="I273" s="28"/>
      <c r="J273" s="86">
        <f t="shared" si="43"/>
        <v>270</v>
      </c>
      <c r="K273" s="80">
        <f t="shared" si="40"/>
        <v>5197.5</v>
      </c>
      <c r="M273" s="4">
        <v>200</v>
      </c>
      <c r="N273" s="5">
        <f t="shared" si="44"/>
        <v>858.1</v>
      </c>
    </row>
    <row r="274" spans="1:14" ht="16.5">
      <c r="A274" s="86">
        <f t="shared" si="36"/>
        <v>271</v>
      </c>
      <c r="B274" s="80">
        <f t="shared" si="37"/>
        <v>3235.6</v>
      </c>
      <c r="C274" s="249"/>
      <c r="D274" s="86">
        <f t="shared" si="41"/>
        <v>271</v>
      </c>
      <c r="E274" s="80">
        <f t="shared" si="38"/>
        <v>3235.6</v>
      </c>
      <c r="G274" s="86">
        <f t="shared" si="42"/>
        <v>271</v>
      </c>
      <c r="H274" s="80">
        <f t="shared" si="39"/>
        <v>4743.1000000000004</v>
      </c>
      <c r="I274" s="28"/>
      <c r="J274" s="86">
        <f t="shared" si="43"/>
        <v>271</v>
      </c>
      <c r="K274" s="80">
        <f t="shared" si="40"/>
        <v>5216.2</v>
      </c>
      <c r="M274" s="4">
        <v>200</v>
      </c>
      <c r="N274" s="5">
        <f t="shared" si="44"/>
        <v>861.1</v>
      </c>
    </row>
    <row r="275" spans="1:14" ht="16.5">
      <c r="A275" s="86">
        <f t="shared" si="36"/>
        <v>272</v>
      </c>
      <c r="B275" s="80">
        <f t="shared" si="37"/>
        <v>3247.2</v>
      </c>
      <c r="C275" s="249"/>
      <c r="D275" s="86">
        <f t="shared" si="41"/>
        <v>272</v>
      </c>
      <c r="E275" s="80">
        <f t="shared" si="38"/>
        <v>3247.2</v>
      </c>
      <c r="G275" s="86">
        <f t="shared" si="42"/>
        <v>272</v>
      </c>
      <c r="H275" s="80">
        <f t="shared" si="39"/>
        <v>4760.1000000000004</v>
      </c>
      <c r="I275" s="28"/>
      <c r="J275" s="86">
        <f t="shared" si="43"/>
        <v>272</v>
      </c>
      <c r="K275" s="80">
        <f t="shared" si="40"/>
        <v>5234.8999999999996</v>
      </c>
      <c r="M275" s="4">
        <v>200</v>
      </c>
      <c r="N275" s="5">
        <f t="shared" si="44"/>
        <v>864.1</v>
      </c>
    </row>
    <row r="276" spans="1:14" ht="16.5">
      <c r="A276" s="86">
        <f t="shared" si="36"/>
        <v>273</v>
      </c>
      <c r="B276" s="80">
        <f t="shared" si="37"/>
        <v>3258.7999999999997</v>
      </c>
      <c r="C276" s="249"/>
      <c r="D276" s="86">
        <f t="shared" si="41"/>
        <v>273</v>
      </c>
      <c r="E276" s="80">
        <f t="shared" si="38"/>
        <v>3258.7999999999997</v>
      </c>
      <c r="G276" s="86">
        <f t="shared" si="42"/>
        <v>273</v>
      </c>
      <c r="H276" s="80">
        <f t="shared" si="39"/>
        <v>4777.1000000000004</v>
      </c>
      <c r="I276" s="28"/>
      <c r="J276" s="86">
        <f t="shared" si="43"/>
        <v>273</v>
      </c>
      <c r="K276" s="80">
        <f t="shared" si="40"/>
        <v>5253.5999999999995</v>
      </c>
      <c r="M276" s="4">
        <v>200</v>
      </c>
      <c r="N276" s="5">
        <f t="shared" si="44"/>
        <v>867.1</v>
      </c>
    </row>
    <row r="277" spans="1:14" ht="16.5">
      <c r="A277" s="86">
        <f t="shared" si="36"/>
        <v>274</v>
      </c>
      <c r="B277" s="80">
        <f t="shared" si="37"/>
        <v>3270.4</v>
      </c>
      <c r="C277" s="249"/>
      <c r="D277" s="86">
        <f t="shared" si="41"/>
        <v>274</v>
      </c>
      <c r="E277" s="80">
        <f t="shared" si="38"/>
        <v>3270.4</v>
      </c>
      <c r="G277" s="86">
        <f t="shared" si="42"/>
        <v>274</v>
      </c>
      <c r="H277" s="80">
        <f t="shared" si="39"/>
        <v>4794.1000000000004</v>
      </c>
      <c r="I277" s="28"/>
      <c r="J277" s="86">
        <f t="shared" si="43"/>
        <v>274</v>
      </c>
      <c r="K277" s="80">
        <f t="shared" si="40"/>
        <v>5272.3</v>
      </c>
      <c r="M277" s="4">
        <v>200</v>
      </c>
      <c r="N277" s="5">
        <f t="shared" si="44"/>
        <v>870.1</v>
      </c>
    </row>
    <row r="278" spans="1:14" ht="16.5">
      <c r="A278" s="86">
        <f t="shared" si="36"/>
        <v>275</v>
      </c>
      <c r="B278" s="80">
        <f t="shared" si="37"/>
        <v>3282</v>
      </c>
      <c r="C278" s="249"/>
      <c r="D278" s="86">
        <f t="shared" si="41"/>
        <v>275</v>
      </c>
      <c r="E278" s="80">
        <f t="shared" si="38"/>
        <v>3282</v>
      </c>
      <c r="G278" s="86">
        <f t="shared" si="42"/>
        <v>275</v>
      </c>
      <c r="H278" s="80">
        <f t="shared" si="39"/>
        <v>4811.1000000000004</v>
      </c>
      <c r="I278" s="28"/>
      <c r="J278" s="86">
        <f t="shared" si="43"/>
        <v>275</v>
      </c>
      <c r="K278" s="80">
        <f t="shared" si="40"/>
        <v>5291</v>
      </c>
      <c r="M278" s="4">
        <v>200</v>
      </c>
      <c r="N278" s="5">
        <f t="shared" si="44"/>
        <v>873.1</v>
      </c>
    </row>
    <row r="279" spans="1:14" ht="16.5">
      <c r="A279" s="86">
        <f t="shared" si="36"/>
        <v>276</v>
      </c>
      <c r="B279" s="80">
        <f t="shared" si="37"/>
        <v>3293.6</v>
      </c>
      <c r="C279" s="249"/>
      <c r="D279" s="86">
        <f t="shared" si="41"/>
        <v>276</v>
      </c>
      <c r="E279" s="80">
        <f t="shared" si="38"/>
        <v>3293.6</v>
      </c>
      <c r="G279" s="86">
        <f t="shared" si="42"/>
        <v>276</v>
      </c>
      <c r="H279" s="80">
        <f t="shared" si="39"/>
        <v>4828.1000000000004</v>
      </c>
      <c r="I279" s="28"/>
      <c r="J279" s="86">
        <f t="shared" si="43"/>
        <v>276</v>
      </c>
      <c r="K279" s="80">
        <f t="shared" si="40"/>
        <v>5309.7</v>
      </c>
      <c r="M279" s="4">
        <v>200</v>
      </c>
      <c r="N279" s="5">
        <f t="shared" si="44"/>
        <v>876.1</v>
      </c>
    </row>
    <row r="280" spans="1:14" ht="16.5">
      <c r="A280" s="86">
        <f t="shared" si="36"/>
        <v>277</v>
      </c>
      <c r="B280" s="80">
        <f t="shared" si="37"/>
        <v>3305.2</v>
      </c>
      <c r="C280" s="249"/>
      <c r="D280" s="86">
        <f t="shared" si="41"/>
        <v>277</v>
      </c>
      <c r="E280" s="80">
        <f t="shared" si="38"/>
        <v>3305.2</v>
      </c>
      <c r="G280" s="86">
        <f t="shared" si="42"/>
        <v>277</v>
      </c>
      <c r="H280" s="80">
        <f t="shared" si="39"/>
        <v>4845.1000000000004</v>
      </c>
      <c r="I280" s="28"/>
      <c r="J280" s="86">
        <f t="shared" si="43"/>
        <v>277</v>
      </c>
      <c r="K280" s="80">
        <f t="shared" si="40"/>
        <v>5328.4</v>
      </c>
      <c r="M280" s="4">
        <v>200</v>
      </c>
      <c r="N280" s="5">
        <f t="shared" si="44"/>
        <v>879.1</v>
      </c>
    </row>
    <row r="281" spans="1:14" ht="16.5">
      <c r="A281" s="86">
        <f t="shared" si="36"/>
        <v>278</v>
      </c>
      <c r="B281" s="80">
        <f t="shared" si="37"/>
        <v>3316.7999999999997</v>
      </c>
      <c r="C281" s="249"/>
      <c r="D281" s="86">
        <f t="shared" si="41"/>
        <v>278</v>
      </c>
      <c r="E281" s="80">
        <f t="shared" si="38"/>
        <v>3316.7999999999997</v>
      </c>
      <c r="G281" s="86">
        <f t="shared" si="42"/>
        <v>278</v>
      </c>
      <c r="H281" s="80">
        <f t="shared" si="39"/>
        <v>4862.1000000000004</v>
      </c>
      <c r="I281" s="28"/>
      <c r="J281" s="86">
        <f t="shared" si="43"/>
        <v>278</v>
      </c>
      <c r="K281" s="80">
        <f t="shared" si="40"/>
        <v>5347.0999999999995</v>
      </c>
      <c r="M281" s="4">
        <v>200</v>
      </c>
      <c r="N281" s="5">
        <f t="shared" si="44"/>
        <v>882.1</v>
      </c>
    </row>
    <row r="282" spans="1:14" ht="16.5">
      <c r="A282" s="86">
        <f t="shared" si="36"/>
        <v>279</v>
      </c>
      <c r="B282" s="80">
        <f t="shared" si="37"/>
        <v>3328.4</v>
      </c>
      <c r="C282" s="249"/>
      <c r="D282" s="86">
        <f t="shared" si="41"/>
        <v>279</v>
      </c>
      <c r="E282" s="80">
        <f t="shared" si="38"/>
        <v>3328.4</v>
      </c>
      <c r="G282" s="86">
        <f t="shared" si="42"/>
        <v>279</v>
      </c>
      <c r="H282" s="80">
        <f t="shared" si="39"/>
        <v>4879.1000000000004</v>
      </c>
      <c r="I282" s="28"/>
      <c r="J282" s="86">
        <f t="shared" si="43"/>
        <v>279</v>
      </c>
      <c r="K282" s="80">
        <f t="shared" si="40"/>
        <v>5365.8</v>
      </c>
      <c r="M282" s="4">
        <v>200</v>
      </c>
      <c r="N282" s="5">
        <f t="shared" si="44"/>
        <v>885.1</v>
      </c>
    </row>
    <row r="283" spans="1:14" ht="16.5">
      <c r="A283" s="86">
        <f t="shared" si="36"/>
        <v>280</v>
      </c>
      <c r="B283" s="80">
        <f t="shared" si="37"/>
        <v>3340</v>
      </c>
      <c r="C283" s="249"/>
      <c r="D283" s="86">
        <f t="shared" si="41"/>
        <v>280</v>
      </c>
      <c r="E283" s="80">
        <f t="shared" si="38"/>
        <v>3340</v>
      </c>
      <c r="G283" s="86">
        <f t="shared" si="42"/>
        <v>280</v>
      </c>
      <c r="H283" s="80">
        <f t="shared" si="39"/>
        <v>4896.1000000000004</v>
      </c>
      <c r="I283" s="28"/>
      <c r="J283" s="86">
        <f t="shared" si="43"/>
        <v>280</v>
      </c>
      <c r="K283" s="80">
        <f t="shared" si="40"/>
        <v>5384.5</v>
      </c>
      <c r="M283" s="4">
        <v>200</v>
      </c>
      <c r="N283" s="5">
        <f t="shared" si="44"/>
        <v>888.1</v>
      </c>
    </row>
    <row r="284" spans="1:14" ht="16.5">
      <c r="A284" s="86">
        <f t="shared" si="36"/>
        <v>281</v>
      </c>
      <c r="B284" s="80">
        <f t="shared" si="37"/>
        <v>3351.6</v>
      </c>
      <c r="C284" s="249"/>
      <c r="D284" s="86">
        <f t="shared" si="41"/>
        <v>281</v>
      </c>
      <c r="E284" s="80">
        <f t="shared" si="38"/>
        <v>3351.6</v>
      </c>
      <c r="G284" s="86">
        <f t="shared" si="42"/>
        <v>281</v>
      </c>
      <c r="H284" s="80">
        <f t="shared" si="39"/>
        <v>4913.1000000000004</v>
      </c>
      <c r="I284" s="28"/>
      <c r="J284" s="86">
        <f t="shared" si="43"/>
        <v>281</v>
      </c>
      <c r="K284" s="80">
        <f t="shared" si="40"/>
        <v>5403.2</v>
      </c>
      <c r="M284" s="4">
        <v>200</v>
      </c>
      <c r="N284" s="5">
        <f t="shared" si="44"/>
        <v>891.1</v>
      </c>
    </row>
    <row r="285" spans="1:14" ht="16.5">
      <c r="A285" s="86">
        <f t="shared" si="36"/>
        <v>282</v>
      </c>
      <c r="B285" s="80">
        <f t="shared" si="37"/>
        <v>3363.2</v>
      </c>
      <c r="C285" s="249"/>
      <c r="D285" s="86">
        <f t="shared" si="41"/>
        <v>282</v>
      </c>
      <c r="E285" s="80">
        <f t="shared" si="38"/>
        <v>3363.2</v>
      </c>
      <c r="G285" s="86">
        <f t="shared" si="42"/>
        <v>282</v>
      </c>
      <c r="H285" s="80">
        <f t="shared" si="39"/>
        <v>4930.1000000000004</v>
      </c>
      <c r="I285" s="28"/>
      <c r="J285" s="86">
        <f t="shared" si="43"/>
        <v>282</v>
      </c>
      <c r="K285" s="80">
        <f t="shared" si="40"/>
        <v>5421.9</v>
      </c>
      <c r="M285" s="4">
        <v>200</v>
      </c>
      <c r="N285" s="5">
        <f t="shared" si="44"/>
        <v>894.1</v>
      </c>
    </row>
    <row r="286" spans="1:14" ht="16.5">
      <c r="A286" s="86">
        <f t="shared" si="36"/>
        <v>283</v>
      </c>
      <c r="B286" s="80">
        <f t="shared" si="37"/>
        <v>3374.7999999999997</v>
      </c>
      <c r="C286" s="249"/>
      <c r="D286" s="86">
        <f t="shared" si="41"/>
        <v>283</v>
      </c>
      <c r="E286" s="80">
        <f t="shared" si="38"/>
        <v>3374.7999999999997</v>
      </c>
      <c r="G286" s="86">
        <f t="shared" si="42"/>
        <v>283</v>
      </c>
      <c r="H286" s="80">
        <f t="shared" si="39"/>
        <v>4947.1000000000004</v>
      </c>
      <c r="I286" s="28"/>
      <c r="J286" s="86">
        <f t="shared" si="43"/>
        <v>283</v>
      </c>
      <c r="K286" s="80">
        <f t="shared" si="40"/>
        <v>5440.5999999999995</v>
      </c>
      <c r="M286" s="4">
        <v>200</v>
      </c>
      <c r="N286" s="5">
        <f t="shared" si="44"/>
        <v>897.1</v>
      </c>
    </row>
    <row r="287" spans="1:14" ht="16.5">
      <c r="A287" s="86">
        <f t="shared" si="36"/>
        <v>284</v>
      </c>
      <c r="B287" s="80">
        <f t="shared" si="37"/>
        <v>3386.4</v>
      </c>
      <c r="C287" s="249"/>
      <c r="D287" s="86">
        <f t="shared" si="41"/>
        <v>284</v>
      </c>
      <c r="E287" s="80">
        <f t="shared" si="38"/>
        <v>3386.4</v>
      </c>
      <c r="G287" s="86">
        <f t="shared" si="42"/>
        <v>284</v>
      </c>
      <c r="H287" s="80">
        <f t="shared" si="39"/>
        <v>4964.1000000000004</v>
      </c>
      <c r="I287" s="28"/>
      <c r="J287" s="86">
        <f t="shared" si="43"/>
        <v>284</v>
      </c>
      <c r="K287" s="80">
        <f t="shared" si="40"/>
        <v>5459.3</v>
      </c>
      <c r="M287" s="4">
        <v>200</v>
      </c>
      <c r="N287" s="5">
        <f t="shared" si="44"/>
        <v>900.1</v>
      </c>
    </row>
    <row r="288" spans="1:14" ht="16.5">
      <c r="A288" s="86">
        <f t="shared" si="36"/>
        <v>285</v>
      </c>
      <c r="B288" s="80">
        <f t="shared" si="37"/>
        <v>3398</v>
      </c>
      <c r="C288" s="249"/>
      <c r="D288" s="86">
        <f t="shared" si="41"/>
        <v>285</v>
      </c>
      <c r="E288" s="80">
        <f t="shared" si="38"/>
        <v>3398</v>
      </c>
      <c r="G288" s="86">
        <f t="shared" si="42"/>
        <v>285</v>
      </c>
      <c r="H288" s="80">
        <f t="shared" si="39"/>
        <v>4981.1000000000004</v>
      </c>
      <c r="I288" s="28"/>
      <c r="J288" s="86">
        <f t="shared" si="43"/>
        <v>285</v>
      </c>
      <c r="K288" s="80">
        <f t="shared" si="40"/>
        <v>5478</v>
      </c>
      <c r="M288" s="4">
        <v>200</v>
      </c>
      <c r="N288" s="5">
        <f t="shared" si="44"/>
        <v>903.1</v>
      </c>
    </row>
    <row r="289" spans="1:14" ht="16.5">
      <c r="A289" s="86">
        <f t="shared" si="36"/>
        <v>286</v>
      </c>
      <c r="B289" s="80">
        <f t="shared" si="37"/>
        <v>3409.6</v>
      </c>
      <c r="C289" s="249"/>
      <c r="D289" s="86">
        <f t="shared" si="41"/>
        <v>286</v>
      </c>
      <c r="E289" s="80">
        <f t="shared" si="38"/>
        <v>3409.6</v>
      </c>
      <c r="G289" s="86">
        <f t="shared" si="42"/>
        <v>286</v>
      </c>
      <c r="H289" s="80">
        <f t="shared" si="39"/>
        <v>4998.1000000000004</v>
      </c>
      <c r="I289" s="28"/>
      <c r="J289" s="86">
        <f t="shared" si="43"/>
        <v>286</v>
      </c>
      <c r="K289" s="80">
        <f t="shared" si="40"/>
        <v>5496.7</v>
      </c>
      <c r="M289" s="4">
        <v>200</v>
      </c>
      <c r="N289" s="5">
        <f t="shared" si="44"/>
        <v>906.1</v>
      </c>
    </row>
    <row r="290" spans="1:14" ht="16.5">
      <c r="A290" s="86">
        <f t="shared" si="36"/>
        <v>287</v>
      </c>
      <c r="B290" s="80">
        <f t="shared" si="37"/>
        <v>3421.2</v>
      </c>
      <c r="C290" s="249"/>
      <c r="D290" s="86">
        <f t="shared" si="41"/>
        <v>287</v>
      </c>
      <c r="E290" s="80">
        <f t="shared" si="38"/>
        <v>3421.2</v>
      </c>
      <c r="G290" s="86">
        <f t="shared" si="42"/>
        <v>287</v>
      </c>
      <c r="H290" s="80">
        <f t="shared" si="39"/>
        <v>5015.1000000000004</v>
      </c>
      <c r="I290" s="28"/>
      <c r="J290" s="86">
        <f t="shared" si="43"/>
        <v>287</v>
      </c>
      <c r="K290" s="80">
        <f t="shared" si="40"/>
        <v>5515.4</v>
      </c>
      <c r="M290" s="4">
        <v>200</v>
      </c>
      <c r="N290" s="5">
        <f t="shared" si="44"/>
        <v>909.1</v>
      </c>
    </row>
    <row r="291" spans="1:14" ht="16.5">
      <c r="A291" s="86">
        <f t="shared" ref="A291:A303" si="45">A290+1</f>
        <v>288</v>
      </c>
      <c r="B291" s="80">
        <f t="shared" ref="B291:B303" si="46">$B$33+(A291-$A$33)*$Q$11</f>
        <v>3432.7999999999997</v>
      </c>
      <c r="C291" s="249"/>
      <c r="D291" s="86">
        <f t="shared" si="41"/>
        <v>288</v>
      </c>
      <c r="E291" s="80">
        <f t="shared" ref="E291:E303" si="47">$E$33+(A291-$A$33)*$Q$6</f>
        <v>3432.7999999999997</v>
      </c>
      <c r="G291" s="86">
        <f t="shared" si="42"/>
        <v>288</v>
      </c>
      <c r="H291" s="80">
        <f t="shared" ref="H291:H303" si="48">$H$33+(A291-$A$33)*$Q$16</f>
        <v>5032.1000000000004</v>
      </c>
      <c r="I291" s="28"/>
      <c r="J291" s="86">
        <f t="shared" si="43"/>
        <v>288</v>
      </c>
      <c r="K291" s="80">
        <f t="shared" ref="K291:K303" si="49">$K$33+(A291-$A$33)*$Q$21</f>
        <v>5534.0999999999995</v>
      </c>
      <c r="M291" s="4">
        <v>200</v>
      </c>
      <c r="N291" s="5">
        <f t="shared" si="44"/>
        <v>912.1</v>
      </c>
    </row>
    <row r="292" spans="1:14" ht="16.5">
      <c r="A292" s="86">
        <f t="shared" si="45"/>
        <v>289</v>
      </c>
      <c r="B292" s="80">
        <f t="shared" si="46"/>
        <v>3444.4</v>
      </c>
      <c r="C292" s="249"/>
      <c r="D292" s="86">
        <f t="shared" si="41"/>
        <v>289</v>
      </c>
      <c r="E292" s="80">
        <f t="shared" si="47"/>
        <v>3444.4</v>
      </c>
      <c r="G292" s="86">
        <f t="shared" si="42"/>
        <v>289</v>
      </c>
      <c r="H292" s="80">
        <f t="shared" si="48"/>
        <v>5049.1000000000004</v>
      </c>
      <c r="I292" s="28"/>
      <c r="J292" s="86">
        <f t="shared" si="43"/>
        <v>289</v>
      </c>
      <c r="K292" s="80">
        <f t="shared" si="49"/>
        <v>5552.8</v>
      </c>
      <c r="M292" s="4">
        <v>200</v>
      </c>
      <c r="N292" s="5">
        <f t="shared" si="44"/>
        <v>915.1</v>
      </c>
    </row>
    <row r="293" spans="1:14" ht="16.5">
      <c r="A293" s="86">
        <f t="shared" si="45"/>
        <v>290</v>
      </c>
      <c r="B293" s="80">
        <f t="shared" si="46"/>
        <v>3456</v>
      </c>
      <c r="C293" s="249"/>
      <c r="D293" s="86">
        <f t="shared" si="41"/>
        <v>290</v>
      </c>
      <c r="E293" s="80">
        <f t="shared" si="47"/>
        <v>3456</v>
      </c>
      <c r="G293" s="86">
        <f t="shared" si="42"/>
        <v>290</v>
      </c>
      <c r="H293" s="80">
        <f t="shared" si="48"/>
        <v>5066.1000000000004</v>
      </c>
      <c r="I293" s="28"/>
      <c r="J293" s="86">
        <f t="shared" si="43"/>
        <v>290</v>
      </c>
      <c r="K293" s="80">
        <f t="shared" si="49"/>
        <v>5571.5</v>
      </c>
      <c r="M293" s="4">
        <v>200</v>
      </c>
      <c r="N293" s="5">
        <f t="shared" si="44"/>
        <v>918.1</v>
      </c>
    </row>
    <row r="294" spans="1:14" ht="16.5">
      <c r="A294" s="86">
        <f t="shared" si="45"/>
        <v>291</v>
      </c>
      <c r="B294" s="80">
        <f t="shared" si="46"/>
        <v>3467.6</v>
      </c>
      <c r="C294" s="249"/>
      <c r="D294" s="86">
        <f t="shared" si="41"/>
        <v>291</v>
      </c>
      <c r="E294" s="80">
        <f t="shared" si="47"/>
        <v>3467.6</v>
      </c>
      <c r="G294" s="86">
        <f t="shared" si="42"/>
        <v>291</v>
      </c>
      <c r="H294" s="80">
        <f t="shared" si="48"/>
        <v>5083.1000000000004</v>
      </c>
      <c r="I294" s="28"/>
      <c r="J294" s="86">
        <f t="shared" si="43"/>
        <v>291</v>
      </c>
      <c r="K294" s="80">
        <f t="shared" si="49"/>
        <v>5590.2</v>
      </c>
      <c r="M294" s="4">
        <v>200</v>
      </c>
      <c r="N294" s="5">
        <f t="shared" si="44"/>
        <v>921.1</v>
      </c>
    </row>
    <row r="295" spans="1:14" ht="16.5">
      <c r="A295" s="86">
        <f t="shared" si="45"/>
        <v>292</v>
      </c>
      <c r="B295" s="80">
        <f t="shared" si="46"/>
        <v>3479.2</v>
      </c>
      <c r="C295" s="249"/>
      <c r="D295" s="86">
        <f t="shared" si="41"/>
        <v>292</v>
      </c>
      <c r="E295" s="80">
        <f t="shared" si="47"/>
        <v>3479.2</v>
      </c>
      <c r="G295" s="86">
        <f t="shared" si="42"/>
        <v>292</v>
      </c>
      <c r="H295" s="80">
        <f t="shared" si="48"/>
        <v>5100.1000000000004</v>
      </c>
      <c r="I295" s="28"/>
      <c r="J295" s="86">
        <f t="shared" si="43"/>
        <v>292</v>
      </c>
      <c r="K295" s="80">
        <f t="shared" si="49"/>
        <v>5608.9</v>
      </c>
      <c r="M295" s="4">
        <v>200</v>
      </c>
      <c r="N295" s="5">
        <f t="shared" si="44"/>
        <v>924.1</v>
      </c>
    </row>
    <row r="296" spans="1:14" ht="16.5">
      <c r="A296" s="86">
        <f t="shared" si="45"/>
        <v>293</v>
      </c>
      <c r="B296" s="80">
        <f t="shared" si="46"/>
        <v>3490.7999999999997</v>
      </c>
      <c r="C296" s="249"/>
      <c r="D296" s="86">
        <f t="shared" si="41"/>
        <v>293</v>
      </c>
      <c r="E296" s="80">
        <f t="shared" si="47"/>
        <v>3490.7999999999997</v>
      </c>
      <c r="G296" s="86">
        <f t="shared" si="42"/>
        <v>293</v>
      </c>
      <c r="H296" s="80">
        <f t="shared" si="48"/>
        <v>5117.1000000000004</v>
      </c>
      <c r="I296" s="28"/>
      <c r="J296" s="86">
        <f t="shared" si="43"/>
        <v>293</v>
      </c>
      <c r="K296" s="80">
        <f t="shared" si="49"/>
        <v>5627.5999999999995</v>
      </c>
      <c r="M296" s="4">
        <v>200</v>
      </c>
      <c r="N296" s="5">
        <f t="shared" si="44"/>
        <v>927.1</v>
      </c>
    </row>
    <row r="297" spans="1:14" ht="16.5">
      <c r="A297" s="86">
        <f t="shared" si="45"/>
        <v>294</v>
      </c>
      <c r="B297" s="80">
        <f t="shared" si="46"/>
        <v>3502.4</v>
      </c>
      <c r="C297" s="249"/>
      <c r="D297" s="86">
        <f t="shared" si="41"/>
        <v>294</v>
      </c>
      <c r="E297" s="80">
        <f t="shared" si="47"/>
        <v>3502.4</v>
      </c>
      <c r="G297" s="86">
        <f t="shared" si="42"/>
        <v>294</v>
      </c>
      <c r="H297" s="80">
        <f t="shared" si="48"/>
        <v>5134.1000000000004</v>
      </c>
      <c r="I297" s="28"/>
      <c r="J297" s="86">
        <f t="shared" si="43"/>
        <v>294</v>
      </c>
      <c r="K297" s="80">
        <f t="shared" si="49"/>
        <v>5646.3</v>
      </c>
      <c r="M297" s="4">
        <v>200</v>
      </c>
      <c r="N297" s="5">
        <f t="shared" si="44"/>
        <v>930.1</v>
      </c>
    </row>
    <row r="298" spans="1:14" ht="16.5">
      <c r="A298" s="86">
        <f t="shared" si="45"/>
        <v>295</v>
      </c>
      <c r="B298" s="80">
        <f t="shared" si="46"/>
        <v>3514</v>
      </c>
      <c r="C298" s="249"/>
      <c r="D298" s="86">
        <f t="shared" si="41"/>
        <v>295</v>
      </c>
      <c r="E298" s="80">
        <f t="shared" si="47"/>
        <v>3514</v>
      </c>
      <c r="G298" s="86">
        <f t="shared" si="42"/>
        <v>295</v>
      </c>
      <c r="H298" s="80">
        <f t="shared" si="48"/>
        <v>5151.1000000000004</v>
      </c>
      <c r="I298" s="28"/>
      <c r="J298" s="86">
        <f t="shared" si="43"/>
        <v>295</v>
      </c>
      <c r="K298" s="80">
        <f t="shared" si="49"/>
        <v>5665</v>
      </c>
      <c r="M298" s="4">
        <v>200</v>
      </c>
      <c r="N298" s="5">
        <f t="shared" si="44"/>
        <v>933.1</v>
      </c>
    </row>
    <row r="299" spans="1:14" ht="16.5">
      <c r="A299" s="86">
        <f t="shared" si="45"/>
        <v>296</v>
      </c>
      <c r="B299" s="80">
        <f t="shared" si="46"/>
        <v>3525.6</v>
      </c>
      <c r="C299" s="249"/>
      <c r="D299" s="86">
        <f t="shared" si="41"/>
        <v>296</v>
      </c>
      <c r="E299" s="80">
        <f t="shared" si="47"/>
        <v>3525.6</v>
      </c>
      <c r="G299" s="86">
        <f t="shared" si="42"/>
        <v>296</v>
      </c>
      <c r="H299" s="80">
        <f t="shared" si="48"/>
        <v>5168.1000000000004</v>
      </c>
      <c r="I299" s="28"/>
      <c r="J299" s="86">
        <f t="shared" si="43"/>
        <v>296</v>
      </c>
      <c r="K299" s="80">
        <f t="shared" si="49"/>
        <v>5683.7</v>
      </c>
      <c r="M299" s="4">
        <v>200</v>
      </c>
      <c r="N299" s="5">
        <f t="shared" si="44"/>
        <v>936.1</v>
      </c>
    </row>
    <row r="300" spans="1:14" ht="16.5">
      <c r="A300" s="86">
        <f t="shared" si="45"/>
        <v>297</v>
      </c>
      <c r="B300" s="80">
        <f t="shared" si="46"/>
        <v>3537.2</v>
      </c>
      <c r="C300" s="249"/>
      <c r="D300" s="86">
        <f t="shared" si="41"/>
        <v>297</v>
      </c>
      <c r="E300" s="80">
        <f t="shared" si="47"/>
        <v>3537.2</v>
      </c>
      <c r="G300" s="86">
        <f t="shared" si="42"/>
        <v>297</v>
      </c>
      <c r="H300" s="80">
        <f t="shared" si="48"/>
        <v>5185.1000000000004</v>
      </c>
      <c r="I300" s="28"/>
      <c r="J300" s="86">
        <f t="shared" si="43"/>
        <v>297</v>
      </c>
      <c r="K300" s="80">
        <f t="shared" si="49"/>
        <v>5702.4</v>
      </c>
      <c r="M300" s="4">
        <v>200</v>
      </c>
      <c r="N300" s="5">
        <f t="shared" si="44"/>
        <v>939.1</v>
      </c>
    </row>
    <row r="301" spans="1:14" ht="16.5">
      <c r="A301" s="86">
        <f t="shared" si="45"/>
        <v>298</v>
      </c>
      <c r="B301" s="80">
        <f t="shared" si="46"/>
        <v>3548.7999999999997</v>
      </c>
      <c r="C301" s="249"/>
      <c r="D301" s="86">
        <f t="shared" si="41"/>
        <v>298</v>
      </c>
      <c r="E301" s="80">
        <f t="shared" si="47"/>
        <v>3548.7999999999997</v>
      </c>
      <c r="G301" s="86">
        <f t="shared" si="42"/>
        <v>298</v>
      </c>
      <c r="H301" s="80">
        <f t="shared" si="48"/>
        <v>5202.1000000000004</v>
      </c>
      <c r="I301" s="28"/>
      <c r="J301" s="86">
        <f t="shared" si="43"/>
        <v>298</v>
      </c>
      <c r="K301" s="80">
        <f t="shared" si="49"/>
        <v>5721.0999999999995</v>
      </c>
      <c r="M301" s="4">
        <v>200</v>
      </c>
      <c r="N301" s="5">
        <f t="shared" si="44"/>
        <v>942.1</v>
      </c>
    </row>
    <row r="302" spans="1:14" ht="16.5">
      <c r="A302" s="86">
        <f t="shared" si="45"/>
        <v>299</v>
      </c>
      <c r="B302" s="80">
        <f t="shared" si="46"/>
        <v>3560.4</v>
      </c>
      <c r="C302" s="249"/>
      <c r="D302" s="86">
        <f t="shared" si="41"/>
        <v>299</v>
      </c>
      <c r="E302" s="80">
        <f t="shared" si="47"/>
        <v>3560.4</v>
      </c>
      <c r="G302" s="86">
        <f t="shared" si="42"/>
        <v>299</v>
      </c>
      <c r="H302" s="80">
        <f t="shared" si="48"/>
        <v>5219.1000000000004</v>
      </c>
      <c r="I302" s="28"/>
      <c r="J302" s="86">
        <f t="shared" si="43"/>
        <v>299</v>
      </c>
      <c r="K302" s="80">
        <f t="shared" si="49"/>
        <v>5739.8</v>
      </c>
      <c r="M302" s="4">
        <v>200</v>
      </c>
      <c r="N302" s="5">
        <f>N301+3</f>
        <v>945.1</v>
      </c>
    </row>
    <row r="303" spans="1:14" ht="16.5">
      <c r="A303" s="86">
        <f t="shared" si="45"/>
        <v>300</v>
      </c>
      <c r="B303" s="80">
        <f t="shared" si="46"/>
        <v>3572</v>
      </c>
      <c r="C303" s="249"/>
      <c r="D303" s="86">
        <f t="shared" si="41"/>
        <v>300</v>
      </c>
      <c r="E303" s="80">
        <f t="shared" si="47"/>
        <v>3572</v>
      </c>
      <c r="G303" s="86">
        <f t="shared" si="42"/>
        <v>300</v>
      </c>
      <c r="H303" s="80">
        <f t="shared" si="48"/>
        <v>5236.1000000000004</v>
      </c>
      <c r="I303" s="28"/>
      <c r="J303" s="86">
        <f t="shared" si="43"/>
        <v>300</v>
      </c>
      <c r="K303" s="80">
        <f t="shared" si="49"/>
        <v>5758.5</v>
      </c>
      <c r="M303" s="4">
        <v>200</v>
      </c>
      <c r="N303" s="5">
        <f>N302+3</f>
        <v>948.1</v>
      </c>
    </row>
  </sheetData>
  <mergeCells count="5">
    <mergeCell ref="A1:K1"/>
    <mergeCell ref="A2:B2"/>
    <mergeCell ref="D2:E2"/>
    <mergeCell ref="G2:H2"/>
    <mergeCell ref="J2:K2"/>
  </mergeCells>
  <pageMargins left="0.7" right="0.7" top="0.75" bottom="0.75" header="0.3" footer="0.3"/>
  <pageSetup paperSize="9" orientation="portrait" horizontalDpi="300" verticalDpi="300" r:id="rId1"/>
  <colBreaks count="1" manualBreakCount="1">
    <brk id="12" max="302" man="1"/>
  </colBreaks>
</worksheet>
</file>

<file path=xl/worksheets/sheet25.xml><?xml version="1.0" encoding="utf-8"?>
<worksheet xmlns="http://schemas.openxmlformats.org/spreadsheetml/2006/main" xmlns:r="http://schemas.openxmlformats.org/officeDocument/2006/relationships">
  <dimension ref="A1:O431"/>
  <sheetViews>
    <sheetView view="pageBreakPreview" topLeftCell="A34" zoomScale="85" zoomScaleSheetLayoutView="85" workbookViewId="0">
      <selection activeCell="C13" sqref="C13"/>
    </sheetView>
  </sheetViews>
  <sheetFormatPr defaultColWidth="13.85546875" defaultRowHeight="15.75"/>
  <cols>
    <col min="1" max="1" width="8.7109375" style="738" customWidth="1"/>
    <col min="2" max="2" width="5.28515625" style="746" customWidth="1"/>
    <col min="3" max="3" width="57.7109375" style="742" customWidth="1"/>
    <col min="4" max="4" width="11.42578125" style="729" bestFit="1" customWidth="1"/>
    <col min="5" max="5" width="12.7109375" style="1421" bestFit="1" customWidth="1"/>
    <col min="6" max="6" width="11.85546875" style="749" bestFit="1" customWidth="1"/>
    <col min="7" max="7" width="12.28515625" style="749" bestFit="1" customWidth="1"/>
    <col min="8" max="8" width="6.42578125" style="737" customWidth="1"/>
    <col min="9" max="9" width="9.5703125" style="737" customWidth="1"/>
    <col min="10" max="16384" width="13.85546875" style="737"/>
  </cols>
  <sheetData>
    <row r="1" spans="1:15">
      <c r="A1" s="1641" t="s">
        <v>173</v>
      </c>
      <c r="B1" s="1641"/>
      <c r="C1" s="1641"/>
      <c r="D1" s="1641"/>
      <c r="E1" s="1641"/>
      <c r="F1" s="1641"/>
      <c r="G1" s="1641"/>
    </row>
    <row r="2" spans="1:15" ht="28.5" hidden="1" customHeight="1">
      <c r="A2" s="1597"/>
      <c r="B2" s="1597"/>
      <c r="C2" s="1597"/>
      <c r="D2" s="1597"/>
      <c r="E2" s="1597"/>
      <c r="F2" s="1597"/>
      <c r="G2" s="1597"/>
    </row>
    <row r="3" spans="1:15">
      <c r="A3" s="1598" t="s">
        <v>1117</v>
      </c>
      <c r="B3" s="1598"/>
      <c r="C3" s="1598"/>
      <c r="D3" s="1598"/>
      <c r="E3" s="1598"/>
      <c r="F3" s="1598"/>
      <c r="G3" s="1598"/>
    </row>
    <row r="4" spans="1:15" s="738" customFormat="1" ht="20.25" customHeight="1">
      <c r="A4" s="702" t="s">
        <v>45</v>
      </c>
      <c r="B4" s="621" t="s">
        <v>46</v>
      </c>
      <c r="C4" s="622" t="s">
        <v>100</v>
      </c>
      <c r="D4" s="702" t="s">
        <v>9</v>
      </c>
      <c r="E4" s="1330" t="s">
        <v>97</v>
      </c>
      <c r="F4" s="623" t="s">
        <v>47</v>
      </c>
      <c r="G4" s="623" t="s">
        <v>48</v>
      </c>
    </row>
    <row r="5" spans="1:15" s="739" customFormat="1">
      <c r="A5" s="625"/>
      <c r="B5" s="626">
        <v>1</v>
      </c>
      <c r="C5" s="627">
        <v>2</v>
      </c>
      <c r="D5" s="626">
        <v>3</v>
      </c>
      <c r="E5" s="1330">
        <v>4</v>
      </c>
      <c r="F5" s="626">
        <v>5</v>
      </c>
      <c r="G5" s="626">
        <v>6</v>
      </c>
    </row>
    <row r="6" spans="1:15" s="739" customFormat="1" ht="63.75" customHeight="1">
      <c r="A6" s="625" t="s">
        <v>1054</v>
      </c>
      <c r="B6" s="626">
        <v>1</v>
      </c>
      <c r="C6" s="1645" t="s">
        <v>1113</v>
      </c>
      <c r="D6" s="1645"/>
      <c r="E6" s="1645"/>
      <c r="F6" s="1645"/>
      <c r="G6" s="1645"/>
      <c r="H6" s="741"/>
    </row>
    <row r="7" spans="1:15" s="739" customFormat="1" ht="15" customHeight="1">
      <c r="A7" s="625"/>
      <c r="B7" s="626"/>
      <c r="C7" s="628" t="s">
        <v>957</v>
      </c>
      <c r="D7" s="628"/>
      <c r="E7" s="1417"/>
      <c r="F7" s="628"/>
      <c r="G7" s="628"/>
      <c r="H7" s="743"/>
    </row>
    <row r="8" spans="1:15" s="739" customFormat="1" ht="15" customHeight="1">
      <c r="A8" s="625"/>
      <c r="B8" s="626"/>
      <c r="C8" s="628" t="s">
        <v>372</v>
      </c>
      <c r="D8" s="628"/>
      <c r="E8" s="1417"/>
      <c r="F8" s="628"/>
      <c r="G8" s="628"/>
      <c r="H8" s="743"/>
    </row>
    <row r="9" spans="1:15" s="739" customFormat="1" ht="15" customHeight="1">
      <c r="A9" s="625"/>
      <c r="B9" s="626"/>
      <c r="C9" s="628" t="s">
        <v>955</v>
      </c>
      <c r="D9" s="628"/>
      <c r="E9" s="1417"/>
      <c r="F9" s="628"/>
      <c r="G9" s="628"/>
      <c r="H9" s="743"/>
    </row>
    <row r="10" spans="1:15" s="739" customFormat="1" ht="15" customHeight="1">
      <c r="A10" s="625"/>
      <c r="B10" s="626"/>
      <c r="C10" s="711" t="s">
        <v>242</v>
      </c>
      <c r="D10" s="628"/>
      <c r="E10" s="1417"/>
      <c r="F10" s="628"/>
      <c r="G10" s="628"/>
      <c r="H10" s="743"/>
    </row>
    <row r="11" spans="1:15" s="739" customFormat="1" ht="15" customHeight="1">
      <c r="A11" s="625"/>
      <c r="B11" s="626"/>
      <c r="C11" s="628" t="s">
        <v>623</v>
      </c>
      <c r="D11" s="624" t="s">
        <v>18</v>
      </c>
      <c r="E11" s="647">
        <v>0</v>
      </c>
      <c r="F11" s="647">
        <f>'Lead Chart 24-25'!C65</f>
        <v>615</v>
      </c>
      <c r="G11" s="630">
        <f>E11*F11</f>
        <v>0</v>
      </c>
      <c r="H11" s="743">
        <v>0</v>
      </c>
      <c r="J11" s="742">
        <v>0</v>
      </c>
      <c r="K11" s="742">
        <v>0</v>
      </c>
      <c r="L11" s="742" t="s">
        <v>18</v>
      </c>
      <c r="M11" s="742">
        <f>K11*J11</f>
        <v>0</v>
      </c>
    </row>
    <row r="12" spans="1:15" s="739" customFormat="1" ht="15" customHeight="1">
      <c r="A12" s="625"/>
      <c r="B12" s="626"/>
      <c r="C12" s="628" t="s">
        <v>873</v>
      </c>
      <c r="D12" s="624" t="s">
        <v>18</v>
      </c>
      <c r="E12" s="647">
        <v>8.32</v>
      </c>
      <c r="F12" s="647">
        <f>'Lead Chart 24-25'!C63</f>
        <v>575</v>
      </c>
      <c r="G12" s="630">
        <f t="shared" ref="G12:G14" si="0">E12*F12</f>
        <v>4784</v>
      </c>
      <c r="H12" s="743">
        <v>4534.4000000000005</v>
      </c>
      <c r="J12" s="742">
        <v>2.08</v>
      </c>
      <c r="K12" s="742">
        <v>445</v>
      </c>
      <c r="L12" s="742" t="s">
        <v>18</v>
      </c>
      <c r="M12" s="742">
        <f>K12*J12</f>
        <v>925.6</v>
      </c>
    </row>
    <row r="13" spans="1:15" s="739" customFormat="1" ht="15" customHeight="1">
      <c r="A13" s="625"/>
      <c r="B13" s="626"/>
      <c r="C13" s="711" t="s">
        <v>874</v>
      </c>
      <c r="D13" s="624"/>
      <c r="E13" s="647"/>
      <c r="F13" s="647"/>
      <c r="G13" s="630"/>
      <c r="H13" s="743"/>
      <c r="J13" s="742"/>
      <c r="K13" s="742"/>
      <c r="L13" s="742"/>
      <c r="M13" s="742"/>
    </row>
    <row r="14" spans="1:15" s="739" customFormat="1" ht="15" customHeight="1">
      <c r="A14" s="625"/>
      <c r="B14" s="626"/>
      <c r="C14" s="628" t="s">
        <v>956</v>
      </c>
      <c r="D14" s="624" t="s">
        <v>89</v>
      </c>
      <c r="E14" s="647">
        <v>6</v>
      </c>
      <c r="F14" s="647">
        <f>'Lead Chart 24-25'!C81</f>
        <v>3557.7</v>
      </c>
      <c r="G14" s="630">
        <f t="shared" si="0"/>
        <v>21346.199999999997</v>
      </c>
      <c r="H14" s="743">
        <v>21426</v>
      </c>
      <c r="J14" s="742">
        <v>3.6</v>
      </c>
      <c r="K14" s="742">
        <v>2989.7</v>
      </c>
      <c r="L14" s="742" t="s">
        <v>89</v>
      </c>
      <c r="M14" s="742">
        <f>K14*J14</f>
        <v>10762.92</v>
      </c>
    </row>
    <row r="15" spans="1:15" s="739" customFormat="1" ht="15" customHeight="1">
      <c r="A15" s="625"/>
      <c r="B15" s="626"/>
      <c r="C15" s="628" t="s">
        <v>875</v>
      </c>
      <c r="D15" s="624"/>
      <c r="E15" s="736">
        <f>'Lead 20-21'!J50</f>
        <v>0.13614999999999999</v>
      </c>
      <c r="F15" s="647">
        <f>SUM(G11:G14)</f>
        <v>26130.199999999997</v>
      </c>
      <c r="G15" s="630">
        <f>E15*F15</f>
        <v>3557.6267299999995</v>
      </c>
      <c r="H15" s="743">
        <v>3534.50846</v>
      </c>
      <c r="J15" s="742">
        <v>0.13614999999999999</v>
      </c>
      <c r="K15" s="742">
        <f>SUM(M11:M14)</f>
        <v>11688.52</v>
      </c>
      <c r="L15" s="742"/>
      <c r="M15" s="742">
        <f>J15*K15</f>
        <v>1591.3919980000001</v>
      </c>
    </row>
    <row r="16" spans="1:15" s="739" customFormat="1" ht="15" customHeight="1">
      <c r="A16" s="625"/>
      <c r="B16" s="626"/>
      <c r="C16" s="815" t="s">
        <v>1039</v>
      </c>
      <c r="D16" s="624"/>
      <c r="E16" s="647">
        <f>'Lead Chart 24-25'!J63</f>
        <v>0</v>
      </c>
      <c r="F16" s="647">
        <f>SUM(G11:G12)</f>
        <v>4784</v>
      </c>
      <c r="G16" s="818">
        <f>E16*F16</f>
        <v>0</v>
      </c>
      <c r="H16" s="743">
        <v>1813.7600000000002</v>
      </c>
      <c r="J16" s="742">
        <v>0.4</v>
      </c>
      <c r="K16" s="742">
        <f>SUM(M11:M12)</f>
        <v>925.6</v>
      </c>
      <c r="L16" s="742"/>
      <c r="M16" s="742">
        <f>J16*K16</f>
        <v>370.24</v>
      </c>
      <c r="O16" s="819">
        <f>297.7</f>
        <v>297.7</v>
      </c>
    </row>
    <row r="17" spans="1:13" s="739" customFormat="1" ht="14.25" customHeight="1">
      <c r="A17" s="625"/>
      <c r="B17" s="626"/>
      <c r="C17" s="899" t="s">
        <v>1103</v>
      </c>
      <c r="D17" s="625"/>
      <c r="E17" s="647">
        <f>E14</f>
        <v>6</v>
      </c>
      <c r="F17" s="647">
        <f>'Lead Chart 24-25'!C82*'Lead Chart 24-25'!J63</f>
        <v>0</v>
      </c>
      <c r="G17" s="630">
        <v>0</v>
      </c>
      <c r="H17" s="743">
        <v>0</v>
      </c>
      <c r="J17" s="742">
        <f>J14</f>
        <v>3.6</v>
      </c>
      <c r="K17" s="742"/>
      <c r="L17" s="742">
        <f>271.7*40%</f>
        <v>108.68</v>
      </c>
      <c r="M17" s="742">
        <f>J17*L17</f>
        <v>391.24800000000005</v>
      </c>
    </row>
    <row r="18" spans="1:13" s="739" customFormat="1" ht="14.25" customHeight="1">
      <c r="A18" s="625"/>
      <c r="B18" s="626"/>
      <c r="C18" s="628" t="s">
        <v>710</v>
      </c>
      <c r="D18" s="624" t="s">
        <v>290</v>
      </c>
      <c r="E18" s="647">
        <v>360</v>
      </c>
      <c r="F18" s="624">
        <v>0</v>
      </c>
      <c r="G18" s="630">
        <v>0</v>
      </c>
      <c r="H18" s="743">
        <v>0</v>
      </c>
      <c r="J18" s="742">
        <v>360</v>
      </c>
      <c r="K18" s="742">
        <v>30</v>
      </c>
      <c r="L18" s="742" t="s">
        <v>290</v>
      </c>
      <c r="M18" s="742">
        <v>0</v>
      </c>
    </row>
    <row r="19" spans="1:13" s="739" customFormat="1" ht="14.25" customHeight="1">
      <c r="A19" s="625"/>
      <c r="B19" s="626"/>
      <c r="C19" s="628" t="s">
        <v>876</v>
      </c>
      <c r="D19" s="628"/>
      <c r="E19" s="1417"/>
      <c r="F19" s="628"/>
      <c r="G19" s="630">
        <f>SUM(G11:G18)</f>
        <v>29687.826729999997</v>
      </c>
      <c r="H19" s="743">
        <v>31308.668460000001</v>
      </c>
      <c r="J19" s="742"/>
      <c r="K19" s="742"/>
      <c r="L19" s="742"/>
      <c r="M19" s="742">
        <f>SUM(M11:M18)</f>
        <v>14041.399997999999</v>
      </c>
    </row>
    <row r="20" spans="1:13" s="739" customFormat="1" ht="14.25" customHeight="1">
      <c r="A20" s="625"/>
      <c r="B20" s="626"/>
      <c r="C20" s="837" t="s">
        <v>1055</v>
      </c>
      <c r="D20" s="628"/>
      <c r="E20" s="1417"/>
      <c r="F20" s="628"/>
      <c r="G20" s="900">
        <f>ROUND(G19/240,2)</f>
        <v>123.7</v>
      </c>
      <c r="H20" s="743">
        <v>130.45278525000001</v>
      </c>
      <c r="J20" s="742"/>
      <c r="K20" s="742"/>
      <c r="L20" s="742"/>
      <c r="M20" s="742">
        <f>M19/360</f>
        <v>39.003888883333332</v>
      </c>
    </row>
    <row r="21" spans="1:13" s="739" customFormat="1">
      <c r="A21" s="625"/>
      <c r="B21" s="626"/>
      <c r="C21" s="628"/>
      <c r="D21" s="628"/>
      <c r="E21" s="1417"/>
      <c r="F21" s="628"/>
      <c r="G21" s="724"/>
      <c r="H21" s="743"/>
      <c r="J21" s="742"/>
      <c r="K21" s="742"/>
      <c r="L21" s="742" t="s">
        <v>290</v>
      </c>
      <c r="M21" s="742">
        <f>ROUND(M20,2)</f>
        <v>39</v>
      </c>
    </row>
    <row r="22" spans="1:13" s="143" customFormat="1" ht="51.75" customHeight="1">
      <c r="A22" s="1141" t="s">
        <v>363</v>
      </c>
      <c r="B22" s="1142">
        <v>1</v>
      </c>
      <c r="C22" s="1143" t="s">
        <v>362</v>
      </c>
      <c r="D22" s="1144"/>
      <c r="E22" s="1145"/>
      <c r="F22" s="1146"/>
      <c r="G22" s="1147"/>
    </row>
    <row r="23" spans="1:13" s="143" customFormat="1" ht="12.75">
      <c r="A23" s="1148" t="s">
        <v>295</v>
      </c>
      <c r="B23" s="1142"/>
      <c r="C23" s="1149" t="s">
        <v>111</v>
      </c>
      <c r="D23" s="1150"/>
      <c r="E23" s="1418"/>
      <c r="F23" s="1146"/>
      <c r="G23" s="1146"/>
    </row>
    <row r="24" spans="1:13" s="143" customFormat="1" ht="12.75">
      <c r="A24" s="1148" t="s">
        <v>295</v>
      </c>
      <c r="B24" s="1142"/>
      <c r="C24" s="1149" t="s">
        <v>111</v>
      </c>
      <c r="D24" s="1150"/>
      <c r="E24" s="1418"/>
      <c r="F24" s="1146"/>
      <c r="G24" s="1146"/>
    </row>
    <row r="25" spans="1:13" s="143" customFormat="1" ht="12.75">
      <c r="A25" s="1148"/>
      <c r="B25" s="1142"/>
      <c r="C25" s="1149" t="s">
        <v>56</v>
      </c>
      <c r="D25" s="1150"/>
      <c r="E25" s="1145"/>
      <c r="F25" s="1146"/>
      <c r="G25" s="1146"/>
    </row>
    <row r="26" spans="1:13" s="143" customFormat="1" ht="12.75">
      <c r="A26" s="1148"/>
      <c r="B26" s="1142"/>
      <c r="C26" s="1149" t="s">
        <v>113</v>
      </c>
      <c r="D26" s="1150"/>
      <c r="E26" s="1145"/>
      <c r="F26" s="1146"/>
      <c r="G26" s="1146"/>
    </row>
    <row r="27" spans="1:13" s="143" customFormat="1">
      <c r="A27" s="1148"/>
      <c r="B27" s="1142"/>
      <c r="C27" s="1149" t="s">
        <v>114</v>
      </c>
      <c r="D27" s="1150" t="s">
        <v>366</v>
      </c>
      <c r="E27" s="1145">
        <v>1.1000000000000001</v>
      </c>
      <c r="F27" s="1146">
        <v>575</v>
      </c>
      <c r="G27" s="818">
        <f t="shared" ref="G27:G32" si="1">E27*F27</f>
        <v>632.5</v>
      </c>
    </row>
    <row r="28" spans="1:13" s="143" customFormat="1">
      <c r="A28" s="1148"/>
      <c r="B28" s="1142"/>
      <c r="C28" s="1149" t="s">
        <v>364</v>
      </c>
      <c r="D28" s="1150" t="s">
        <v>366</v>
      </c>
      <c r="E28" s="1145">
        <v>1.5</v>
      </c>
      <c r="F28" s="1146">
        <v>615</v>
      </c>
      <c r="G28" s="818">
        <f t="shared" si="1"/>
        <v>922.5</v>
      </c>
    </row>
    <row r="29" spans="1:13" s="143" customFormat="1">
      <c r="A29" s="1148"/>
      <c r="B29" s="1142"/>
      <c r="C29" s="1149" t="s">
        <v>365</v>
      </c>
      <c r="D29" s="1150" t="s">
        <v>366</v>
      </c>
      <c r="E29" s="1145">
        <v>0.06</v>
      </c>
      <c r="F29" s="1146">
        <v>645</v>
      </c>
      <c r="G29" s="818">
        <f t="shared" si="1"/>
        <v>38.699999999999996</v>
      </c>
    </row>
    <row r="30" spans="1:13" s="154" customFormat="1">
      <c r="A30" s="1151"/>
      <c r="B30" s="386"/>
      <c r="C30" s="1152" t="s">
        <v>315</v>
      </c>
      <c r="D30" s="1153"/>
      <c r="E30" s="1153">
        <v>0</v>
      </c>
      <c r="F30" s="1154">
        <v>1593.7</v>
      </c>
      <c r="G30" s="818">
        <f t="shared" si="1"/>
        <v>0</v>
      </c>
    </row>
    <row r="31" spans="1:13" s="143" customFormat="1" ht="12.75">
      <c r="A31" s="1148"/>
      <c r="B31" s="1142"/>
      <c r="C31" s="1149" t="s">
        <v>367</v>
      </c>
      <c r="D31" s="1150"/>
      <c r="E31" s="1145"/>
      <c r="F31" s="1146"/>
      <c r="G31" s="1146"/>
    </row>
    <row r="32" spans="1:13" s="143" customFormat="1">
      <c r="A32" s="1148"/>
      <c r="B32" s="1142"/>
      <c r="C32" s="1149" t="s">
        <v>368</v>
      </c>
      <c r="D32" s="1150" t="s">
        <v>366</v>
      </c>
      <c r="E32" s="1145">
        <v>0.18</v>
      </c>
      <c r="F32" s="1155">
        <v>1281.3</v>
      </c>
      <c r="G32" s="818">
        <f t="shared" si="1"/>
        <v>230.63399999999999</v>
      </c>
    </row>
    <row r="33" spans="1:8" s="143" customFormat="1" ht="25.5">
      <c r="A33" s="1142"/>
      <c r="B33" s="1156" t="s">
        <v>1265</v>
      </c>
      <c r="C33" s="1149" t="s">
        <v>369</v>
      </c>
      <c r="D33" s="1150" t="s">
        <v>366</v>
      </c>
      <c r="E33" s="1145">
        <v>0.5</v>
      </c>
      <c r="F33" s="1155">
        <v>234</v>
      </c>
      <c r="G33" s="818">
        <f>E33*F33*-1</f>
        <v>-117</v>
      </c>
    </row>
    <row r="34" spans="1:8" s="154" customFormat="1" ht="12.75">
      <c r="A34" s="1151"/>
      <c r="B34" s="386"/>
      <c r="C34" s="1152" t="s">
        <v>315</v>
      </c>
      <c r="D34" s="1153"/>
      <c r="E34" s="1153">
        <v>0</v>
      </c>
      <c r="F34" s="1154">
        <v>1593.7</v>
      </c>
      <c r="G34" s="1154">
        <v>0</v>
      </c>
    </row>
    <row r="35" spans="1:8" s="143" customFormat="1" ht="12.75">
      <c r="A35" s="1148"/>
      <c r="B35" s="1142"/>
      <c r="C35" s="1149" t="s">
        <v>116</v>
      </c>
      <c r="D35" s="1150"/>
      <c r="E35" s="1145"/>
      <c r="F35" s="1146"/>
      <c r="G35" s="1146">
        <f>SUM(G27:G34)</f>
        <v>1707.3340000000001</v>
      </c>
    </row>
    <row r="36" spans="1:8" s="157" customFormat="1">
      <c r="A36" s="1142"/>
      <c r="B36" s="1142"/>
      <c r="C36" s="1143" t="s">
        <v>398</v>
      </c>
      <c r="D36" s="1157"/>
      <c r="E36" s="1145">
        <f>G35</f>
        <v>1707.3340000000001</v>
      </c>
      <c r="F36" s="1158">
        <f>'Lead Chart 24-25'!J64</f>
        <v>0.13614999999999999</v>
      </c>
      <c r="G36" s="818">
        <f t="shared" ref="G36" si="2">E36*F36</f>
        <v>232.45352410000001</v>
      </c>
    </row>
    <row r="37" spans="1:8" s="154" customFormat="1" ht="12.75">
      <c r="A37" s="1151"/>
      <c r="B37" s="386"/>
      <c r="C37" s="1143" t="s">
        <v>118</v>
      </c>
      <c r="D37" s="1159"/>
      <c r="E37" s="1159"/>
      <c r="F37" s="1160"/>
      <c r="G37" s="1160">
        <f>SUM(G35:G36)</f>
        <v>1939.7875241000002</v>
      </c>
    </row>
    <row r="38" spans="1:8" s="157" customFormat="1" ht="12.75">
      <c r="A38" s="1142"/>
      <c r="B38" s="1142"/>
      <c r="C38" s="1143" t="s">
        <v>117</v>
      </c>
      <c r="D38" s="1157"/>
      <c r="E38" s="1145"/>
      <c r="F38" s="1146" t="s">
        <v>154</v>
      </c>
      <c r="G38" s="1161">
        <f>G37</f>
        <v>1939.7875241000002</v>
      </c>
    </row>
    <row r="39" spans="1:8" s="740" customFormat="1" ht="17.25" hidden="1" customHeight="1">
      <c r="A39" s="631"/>
      <c r="B39" s="631"/>
      <c r="C39" s="1644" t="s">
        <v>711</v>
      </c>
      <c r="D39" s="1644"/>
      <c r="E39" s="1644"/>
      <c r="F39" s="1644"/>
      <c r="G39" s="1644"/>
      <c r="H39" s="744"/>
    </row>
    <row r="40" spans="1:8" s="740" customFormat="1" ht="66.75" hidden="1" customHeight="1">
      <c r="A40" s="631" t="s">
        <v>1057</v>
      </c>
      <c r="B40" s="626">
        <v>2</v>
      </c>
      <c r="C40" s="1637" t="s">
        <v>1041</v>
      </c>
      <c r="D40" s="1637"/>
      <c r="E40" s="1637"/>
      <c r="F40" s="1637"/>
      <c r="G40" s="1637"/>
      <c r="H40" s="741"/>
    </row>
    <row r="41" spans="1:8" s="740" customFormat="1" hidden="1">
      <c r="A41" s="631"/>
      <c r="B41" s="631"/>
      <c r="C41" s="704" t="s">
        <v>372</v>
      </c>
      <c r="D41" s="638"/>
      <c r="E41" s="639"/>
      <c r="F41" s="640"/>
      <c r="G41" s="640"/>
      <c r="H41" s="744"/>
    </row>
    <row r="42" spans="1:8" s="740" customFormat="1" hidden="1">
      <c r="A42" s="631"/>
      <c r="B42" s="631"/>
      <c r="C42" s="704" t="s">
        <v>373</v>
      </c>
      <c r="D42" s="638"/>
      <c r="E42" s="641"/>
      <c r="F42" s="641"/>
      <c r="G42" s="641"/>
      <c r="H42" s="744"/>
    </row>
    <row r="43" spans="1:8" s="740" customFormat="1" hidden="1">
      <c r="A43" s="631"/>
      <c r="B43" s="631"/>
      <c r="C43" s="703" t="s">
        <v>533</v>
      </c>
      <c r="D43" s="638"/>
      <c r="E43" s="639"/>
      <c r="F43" s="640"/>
      <c r="G43" s="640"/>
      <c r="H43" s="744"/>
    </row>
    <row r="44" spans="1:8" s="740" customFormat="1" hidden="1">
      <c r="A44" s="631"/>
      <c r="B44" s="631"/>
      <c r="C44" s="704" t="s">
        <v>375</v>
      </c>
      <c r="D44" s="731" t="s">
        <v>18</v>
      </c>
      <c r="E44" s="840">
        <v>0</v>
      </c>
      <c r="F44" s="733">
        <f>'Lead Chart 24-25'!C65</f>
        <v>615</v>
      </c>
      <c r="G44" s="821">
        <f>E44*F44</f>
        <v>0</v>
      </c>
      <c r="H44" s="740">
        <v>0</v>
      </c>
    </row>
    <row r="45" spans="1:8" s="740" customFormat="1" hidden="1">
      <c r="A45" s="631"/>
      <c r="B45" s="631"/>
      <c r="C45" s="704" t="s">
        <v>376</v>
      </c>
      <c r="D45" s="731" t="s">
        <v>18</v>
      </c>
      <c r="E45" s="840">
        <v>3.22</v>
      </c>
      <c r="F45" s="733">
        <f>'Lead Chart 24-25'!C63</f>
        <v>575</v>
      </c>
      <c r="G45" s="821">
        <f>E45*F45</f>
        <v>1851.5</v>
      </c>
      <c r="H45" s="740">
        <v>1754.9</v>
      </c>
    </row>
    <row r="46" spans="1:8" s="740" customFormat="1" hidden="1">
      <c r="A46" s="631"/>
      <c r="B46" s="631"/>
      <c r="C46" s="704" t="s">
        <v>377</v>
      </c>
      <c r="D46" s="731" t="s">
        <v>18</v>
      </c>
      <c r="E46" s="733">
        <v>2</v>
      </c>
      <c r="F46" s="733">
        <f>'Lead Chart 24-25'!C75</f>
        <v>740</v>
      </c>
      <c r="G46" s="821">
        <f>E46*F46</f>
        <v>1480</v>
      </c>
      <c r="H46" s="740">
        <v>1400</v>
      </c>
    </row>
    <row r="47" spans="1:8" s="740" customFormat="1" hidden="1">
      <c r="A47" s="631"/>
      <c r="B47" s="631"/>
      <c r="C47" s="704" t="s">
        <v>378</v>
      </c>
      <c r="D47" s="731" t="s">
        <v>18</v>
      </c>
      <c r="E47" s="733">
        <v>0.5</v>
      </c>
      <c r="F47" s="733">
        <f>'Lead Chart 24-25'!C70</f>
        <v>765</v>
      </c>
      <c r="G47" s="821">
        <f>E47*F47</f>
        <v>382.5</v>
      </c>
      <c r="H47" s="740">
        <v>360</v>
      </c>
    </row>
    <row r="48" spans="1:8" s="740" customFormat="1" hidden="1">
      <c r="A48" s="631"/>
      <c r="B48" s="631"/>
      <c r="C48" s="703" t="s">
        <v>379</v>
      </c>
      <c r="D48" s="731"/>
      <c r="E48" s="733"/>
      <c r="F48" s="733"/>
      <c r="G48" s="821"/>
    </row>
    <row r="49" spans="1:15" s="740" customFormat="1" hidden="1">
      <c r="A49" s="631"/>
      <c r="B49" s="631"/>
      <c r="C49" s="838" t="s">
        <v>380</v>
      </c>
      <c r="D49" s="731" t="s">
        <v>89</v>
      </c>
      <c r="E49" s="733">
        <v>6</v>
      </c>
      <c r="F49" s="734">
        <f>'Lead Chart 24-25'!C109</f>
        <v>1934</v>
      </c>
      <c r="G49" s="821">
        <f>E49*F49</f>
        <v>11604</v>
      </c>
      <c r="H49" s="740">
        <v>11604</v>
      </c>
    </row>
    <row r="50" spans="1:15" s="740" customFormat="1" hidden="1">
      <c r="A50" s="631"/>
      <c r="B50" s="631"/>
      <c r="C50" s="704" t="s">
        <v>954</v>
      </c>
      <c r="D50" s="731" t="s">
        <v>89</v>
      </c>
      <c r="E50" s="733">
        <v>6</v>
      </c>
      <c r="F50" s="733">
        <f>'Lead Chart 24-25'!C83</f>
        <v>1759.4</v>
      </c>
      <c r="G50" s="821">
        <f>E50*F50</f>
        <v>10556.400000000001</v>
      </c>
      <c r="H50" s="740">
        <v>10612.8</v>
      </c>
    </row>
    <row r="51" spans="1:15" s="740" customFormat="1" hidden="1">
      <c r="A51" s="631"/>
      <c r="B51" s="631"/>
      <c r="C51" s="796" t="s">
        <v>1030</v>
      </c>
      <c r="D51" s="731" t="s">
        <v>89</v>
      </c>
      <c r="E51" s="393">
        <v>12</v>
      </c>
      <c r="F51" s="393">
        <f>'Lead Chart 24-25'!C85</f>
        <v>523.20000000000005</v>
      </c>
      <c r="G51" s="821">
        <f>E51*F51</f>
        <v>6278.4000000000005</v>
      </c>
      <c r="H51" s="740">
        <v>5950.7999999999993</v>
      </c>
      <c r="J51" s="741"/>
      <c r="K51" s="797"/>
      <c r="L51" s="798"/>
      <c r="M51" s="745"/>
      <c r="N51" s="798"/>
      <c r="O51" s="745"/>
    </row>
    <row r="52" spans="1:15" s="740" customFormat="1" hidden="1">
      <c r="A52" s="631"/>
      <c r="B52" s="631"/>
      <c r="C52" s="704" t="s">
        <v>712</v>
      </c>
      <c r="D52" s="731" t="s">
        <v>89</v>
      </c>
      <c r="E52" s="733">
        <v>6</v>
      </c>
      <c r="F52" s="733">
        <f>'Lead Chart 24-25'!C88</f>
        <v>2028</v>
      </c>
      <c r="G52" s="821">
        <f>E52*F52</f>
        <v>12168</v>
      </c>
      <c r="H52" s="740">
        <v>12168</v>
      </c>
    </row>
    <row r="53" spans="1:15" s="740" customFormat="1" hidden="1">
      <c r="A53" s="631"/>
      <c r="B53" s="631"/>
      <c r="C53" s="704" t="s">
        <v>713</v>
      </c>
      <c r="D53" s="731" t="s">
        <v>89</v>
      </c>
      <c r="E53" s="733">
        <v>8.1999999999999993</v>
      </c>
      <c r="F53" s="733">
        <f>'Lead Chart 24-25'!C116</f>
        <v>1281.3</v>
      </c>
      <c r="G53" s="821">
        <f>E53*F53</f>
        <v>10506.659999999998</v>
      </c>
      <c r="H53" s="740">
        <v>10479.599999999999</v>
      </c>
    </row>
    <row r="54" spans="1:15" s="740" customFormat="1" hidden="1">
      <c r="A54" s="631"/>
      <c r="B54" s="631"/>
      <c r="C54" s="703" t="s">
        <v>383</v>
      </c>
      <c r="D54" s="731"/>
      <c r="E54" s="733"/>
      <c r="F54" s="733"/>
      <c r="G54" s="821"/>
    </row>
    <row r="55" spans="1:15" s="740" customFormat="1" hidden="1">
      <c r="A55" s="631"/>
      <c r="B55" s="631"/>
      <c r="C55" s="704" t="s">
        <v>714</v>
      </c>
      <c r="D55" s="731" t="s">
        <v>91</v>
      </c>
      <c r="E55" s="733">
        <v>70</v>
      </c>
      <c r="F55" s="894">
        <v>87</v>
      </c>
      <c r="G55" s="821">
        <f>E55*F55</f>
        <v>6090</v>
      </c>
      <c r="H55" s="740">
        <v>6090</v>
      </c>
    </row>
    <row r="56" spans="1:15" s="740" customFormat="1" ht="31.5" hidden="1">
      <c r="A56" s="631"/>
      <c r="B56" s="631"/>
      <c r="C56" s="660" t="s">
        <v>953</v>
      </c>
      <c r="D56" s="731" t="s">
        <v>247</v>
      </c>
      <c r="E56" s="733">
        <v>1008</v>
      </c>
      <c r="F56" s="894">
        <v>13</v>
      </c>
      <c r="G56" s="821">
        <f>E56*F56</f>
        <v>13104</v>
      </c>
      <c r="H56" s="740">
        <v>13104</v>
      </c>
    </row>
    <row r="57" spans="1:15" s="740" customFormat="1" ht="31.5" hidden="1">
      <c r="A57" s="631"/>
      <c r="B57" s="631"/>
      <c r="C57" s="730" t="s">
        <v>385</v>
      </c>
      <c r="D57" s="735" t="s">
        <v>290</v>
      </c>
      <c r="E57" s="393">
        <v>90</v>
      </c>
      <c r="F57" s="393">
        <f>'Lead Chart 24-25'!C141</f>
        <v>234</v>
      </c>
      <c r="G57" s="879">
        <f>-E57*F57</f>
        <v>-21060</v>
      </c>
      <c r="H57" s="740">
        <v>-21060</v>
      </c>
    </row>
    <row r="58" spans="1:15" s="740" customFormat="1" hidden="1">
      <c r="A58" s="631"/>
      <c r="B58" s="631"/>
      <c r="C58" s="730" t="s">
        <v>877</v>
      </c>
      <c r="D58" s="735"/>
      <c r="E58" s="393">
        <v>0</v>
      </c>
      <c r="F58" s="393">
        <f>SUM(G44:G56)</f>
        <v>74021.459999999992</v>
      </c>
      <c r="G58" s="879">
        <f>E58*F58</f>
        <v>0</v>
      </c>
      <c r="H58" s="740">
        <v>7142.9872150000001</v>
      </c>
    </row>
    <row r="59" spans="1:15" s="740" customFormat="1" hidden="1">
      <c r="A59" s="631"/>
      <c r="B59" s="631"/>
      <c r="C59" s="642" t="s">
        <v>386</v>
      </c>
      <c r="D59" s="723"/>
      <c r="E59" s="647">
        <f>'Lead 20-21'!J50</f>
        <v>0.13614999999999999</v>
      </c>
      <c r="F59" s="647">
        <f>SUM(G44:G57)</f>
        <v>52961.459999999992</v>
      </c>
      <c r="G59" s="821">
        <f t="shared" ref="G59:G64" si="3">E59*F59</f>
        <v>7210.7027789999984</v>
      </c>
      <c r="H59" s="740">
        <v>702.98</v>
      </c>
    </row>
    <row r="60" spans="1:15" s="740" customFormat="1" hidden="1">
      <c r="A60" s="631"/>
      <c r="B60" s="631"/>
      <c r="C60" s="820" t="s">
        <v>1040</v>
      </c>
      <c r="D60" s="723"/>
      <c r="E60" s="647">
        <f>'Lead Chart 24-25'!J63</f>
        <v>0</v>
      </c>
      <c r="F60" s="647">
        <f>SUM(G44:G47)</f>
        <v>3714</v>
      </c>
      <c r="G60" s="821">
        <f t="shared" si="3"/>
        <v>0</v>
      </c>
      <c r="H60" s="740">
        <v>0</v>
      </c>
    </row>
    <row r="61" spans="1:15" s="740" customFormat="1" hidden="1">
      <c r="A61" s="631"/>
      <c r="B61" s="631"/>
      <c r="C61" s="820" t="s">
        <v>1042</v>
      </c>
      <c r="D61" s="723" t="s">
        <v>89</v>
      </c>
      <c r="E61" s="647">
        <f>E49</f>
        <v>6</v>
      </c>
      <c r="F61" s="393">
        <f>334.1*'Lead Chart 24-25'!J63</f>
        <v>0</v>
      </c>
      <c r="G61" s="821">
        <v>0</v>
      </c>
      <c r="H61" s="740">
        <v>363.96000000000004</v>
      </c>
    </row>
    <row r="62" spans="1:15" s="740" customFormat="1" hidden="1">
      <c r="A62" s="631"/>
      <c r="B62" s="631"/>
      <c r="C62" s="820" t="s">
        <v>1043</v>
      </c>
      <c r="D62" s="723" t="s">
        <v>89</v>
      </c>
      <c r="E62" s="647">
        <f>E50</f>
        <v>6</v>
      </c>
      <c r="F62" s="393">
        <f>'Lead Chart 24-25'!C84*'Lead Chart 24-25'!J63</f>
        <v>0</v>
      </c>
      <c r="G62" s="821">
        <f t="shared" si="3"/>
        <v>0</v>
      </c>
      <c r="H62" s="740">
        <v>1137.3600000000001</v>
      </c>
    </row>
    <row r="63" spans="1:15" s="740" customFormat="1" hidden="1">
      <c r="A63" s="631"/>
      <c r="B63" s="631"/>
      <c r="C63" s="820" t="s">
        <v>1044</v>
      </c>
      <c r="D63" s="723" t="s">
        <v>89</v>
      </c>
      <c r="E63" s="647">
        <f>E53</f>
        <v>8.1999999999999993</v>
      </c>
      <c r="F63" s="393">
        <f>'Lead Chart 24-25'!C117*'Lead Chart 24-25'!J63</f>
        <v>0</v>
      </c>
      <c r="G63" s="821">
        <f t="shared" si="3"/>
        <v>0</v>
      </c>
      <c r="H63" s="740">
        <v>0</v>
      </c>
    </row>
    <row r="64" spans="1:15" s="740" customFormat="1" hidden="1">
      <c r="A64" s="631"/>
      <c r="B64" s="631"/>
      <c r="C64" s="816" t="s">
        <v>1045</v>
      </c>
      <c r="D64" s="659" t="str">
        <f>D52</f>
        <v>hour</v>
      </c>
      <c r="E64" s="393">
        <v>12</v>
      </c>
      <c r="F64" s="393">
        <f>'Lead Chart 24-25'!C86*'Lead Chart 24-25'!J63</f>
        <v>0</v>
      </c>
      <c r="G64" s="821">
        <f t="shared" si="3"/>
        <v>0</v>
      </c>
      <c r="H64" s="745">
        <v>409.34399999999999</v>
      </c>
    </row>
    <row r="65" spans="1:9" s="740" customFormat="1" hidden="1">
      <c r="A65" s="631"/>
      <c r="B65" s="631"/>
      <c r="C65" s="642" t="s">
        <v>710</v>
      </c>
      <c r="D65" s="723" t="s">
        <v>290</v>
      </c>
      <c r="E65" s="647">
        <v>180</v>
      </c>
      <c r="F65" s="647">
        <v>75</v>
      </c>
      <c r="G65" s="821">
        <v>0</v>
      </c>
      <c r="H65" s="740">
        <v>0</v>
      </c>
    </row>
    <row r="66" spans="1:9" s="740" customFormat="1" hidden="1">
      <c r="A66" s="631"/>
      <c r="B66" s="631"/>
      <c r="C66" s="796" t="s">
        <v>715</v>
      </c>
      <c r="D66" s="731"/>
      <c r="E66" s="732"/>
      <c r="F66" s="733"/>
      <c r="G66" s="880">
        <f>SUM(G44:G65)</f>
        <v>60172.162778999991</v>
      </c>
      <c r="H66" s="740">
        <v>62220.731215000007</v>
      </c>
    </row>
    <row r="67" spans="1:9" s="740" customFormat="1" hidden="1">
      <c r="A67" s="631"/>
      <c r="B67" s="631"/>
      <c r="C67" s="795" t="s">
        <v>388</v>
      </c>
      <c r="D67" s="799"/>
      <c r="E67" s="640"/>
      <c r="F67" s="640"/>
      <c r="G67" s="902">
        <f>ROUND(G66/180,2)</f>
        <v>334.29</v>
      </c>
      <c r="H67" s="740">
        <v>345.67</v>
      </c>
    </row>
    <row r="68" spans="1:9" s="740" customFormat="1" hidden="1">
      <c r="A68" s="631"/>
      <c r="B68" s="631"/>
      <c r="C68" s="1642" t="s">
        <v>942</v>
      </c>
      <c r="D68" s="1643"/>
      <c r="E68" s="639"/>
      <c r="F68" s="640"/>
      <c r="G68" s="640"/>
      <c r="H68" s="744"/>
    </row>
    <row r="69" spans="1:9" s="740" customFormat="1" hidden="1">
      <c r="A69" s="631"/>
      <c r="B69" s="631"/>
      <c r="C69" s="1642" t="s">
        <v>943</v>
      </c>
      <c r="D69" s="1643"/>
      <c r="E69" s="639"/>
      <c r="F69" s="640"/>
      <c r="G69" s="640"/>
      <c r="H69" s="744"/>
    </row>
    <row r="70" spans="1:9" s="740" customFormat="1" hidden="1">
      <c r="A70" s="631"/>
      <c r="B70" s="631"/>
      <c r="C70" s="711"/>
      <c r="D70" s="635"/>
      <c r="E70" s="629"/>
      <c r="F70" s="629"/>
      <c r="G70" s="637"/>
    </row>
    <row r="71" spans="1:9" s="740" customFormat="1" hidden="1">
      <c r="A71" s="631"/>
      <c r="B71" s="631"/>
      <c r="C71" s="711"/>
      <c r="D71" s="635"/>
      <c r="E71" s="629"/>
      <c r="F71" s="629"/>
      <c r="G71" s="637"/>
    </row>
    <row r="72" spans="1:9" s="739" customFormat="1" ht="21" hidden="1" customHeight="1">
      <c r="A72" s="631"/>
      <c r="B72" s="631">
        <v>1</v>
      </c>
      <c r="C72" s="1595" t="s">
        <v>944</v>
      </c>
      <c r="D72" s="1595"/>
      <c r="E72" s="1595"/>
      <c r="F72" s="1595"/>
      <c r="G72" s="1595"/>
    </row>
    <row r="73" spans="1:9" s="739" customFormat="1" ht="47.25" hidden="1">
      <c r="A73" s="701" t="s">
        <v>356</v>
      </c>
      <c r="B73" s="631"/>
      <c r="C73" s="628" t="s">
        <v>111</v>
      </c>
      <c r="D73" s="634"/>
      <c r="E73" s="629"/>
      <c r="F73" s="629"/>
      <c r="G73" s="629"/>
    </row>
    <row r="74" spans="1:9" s="739" customFormat="1" hidden="1">
      <c r="A74" s="633" t="s">
        <v>295</v>
      </c>
      <c r="B74" s="631"/>
      <c r="C74" s="628" t="s">
        <v>357</v>
      </c>
      <c r="D74" s="634"/>
      <c r="E74" s="629"/>
      <c r="F74" s="629"/>
      <c r="G74" s="629"/>
    </row>
    <row r="75" spans="1:9" s="739" customFormat="1" hidden="1">
      <c r="A75" s="633"/>
      <c r="B75" s="631"/>
      <c r="C75" s="628" t="s">
        <v>113</v>
      </c>
      <c r="D75" s="634"/>
      <c r="E75" s="629"/>
      <c r="F75" s="629"/>
      <c r="G75" s="629"/>
    </row>
    <row r="76" spans="1:9" s="739" customFormat="1" hidden="1">
      <c r="A76" s="633"/>
      <c r="B76" s="631"/>
      <c r="C76" s="628" t="s">
        <v>114</v>
      </c>
      <c r="D76" s="634" t="s">
        <v>18</v>
      </c>
      <c r="E76" s="629">
        <v>60</v>
      </c>
      <c r="F76" s="629">
        <f>Lead!R24</f>
        <v>445</v>
      </c>
      <c r="G76" s="629">
        <f>ROUND(F76*E76,2)</f>
        <v>26700</v>
      </c>
    </row>
    <row r="77" spans="1:9" s="739" customFormat="1" hidden="1">
      <c r="A77" s="633"/>
      <c r="B77" s="631"/>
      <c r="C77" s="628" t="s">
        <v>229</v>
      </c>
      <c r="D77" s="634"/>
      <c r="E77" s="629"/>
      <c r="F77" s="629"/>
      <c r="G77" s="629"/>
    </row>
    <row r="78" spans="1:9" s="739" customFormat="1" ht="18" hidden="1" customHeight="1">
      <c r="A78" s="633"/>
      <c r="B78" s="631"/>
      <c r="C78" s="628" t="s">
        <v>422</v>
      </c>
      <c r="D78" s="634" t="s">
        <v>360</v>
      </c>
      <c r="E78" s="629">
        <v>342</v>
      </c>
      <c r="F78" s="629">
        <v>49</v>
      </c>
      <c r="G78" s="629">
        <f>ROUND(F78*E78,2)</f>
        <v>16758</v>
      </c>
      <c r="H78" s="739" t="s">
        <v>423</v>
      </c>
      <c r="I78" s="739">
        <f>247*0.2</f>
        <v>49.400000000000006</v>
      </c>
    </row>
    <row r="79" spans="1:9" s="739" customFormat="1" hidden="1">
      <c r="A79" s="633"/>
      <c r="B79" s="631"/>
      <c r="C79" s="628" t="s">
        <v>358</v>
      </c>
      <c r="D79" s="634" t="s">
        <v>361</v>
      </c>
      <c r="E79" s="629">
        <v>3</v>
      </c>
      <c r="F79" s="629">
        <v>750</v>
      </c>
      <c r="G79" s="629">
        <f>ROUND(F79*E79,2)</f>
        <v>2250</v>
      </c>
      <c r="I79" s="747"/>
    </row>
    <row r="80" spans="1:9" s="739" customFormat="1" ht="63" hidden="1">
      <c r="A80" s="625" t="s">
        <v>391</v>
      </c>
      <c r="B80" s="631"/>
      <c r="C80" s="628" t="s">
        <v>359</v>
      </c>
      <c r="D80" s="634" t="s">
        <v>360</v>
      </c>
      <c r="E80" s="629">
        <v>10</v>
      </c>
      <c r="F80" s="629">
        <v>75</v>
      </c>
      <c r="G80" s="629">
        <f>ROUND(F80*E80,2)</f>
        <v>750</v>
      </c>
      <c r="I80" s="747"/>
    </row>
    <row r="81" spans="1:7" s="739" customFormat="1" ht="63" hidden="1">
      <c r="A81" s="625" t="s">
        <v>391</v>
      </c>
      <c r="B81" s="631"/>
      <c r="C81" s="628" t="s">
        <v>116</v>
      </c>
      <c r="D81" s="634"/>
      <c r="E81" s="629"/>
      <c r="F81" s="629"/>
      <c r="G81" s="629">
        <f>SUM(G76:G80)</f>
        <v>46458</v>
      </c>
    </row>
    <row r="82" spans="1:7" s="740" customFormat="1" hidden="1">
      <c r="A82" s="625"/>
      <c r="B82" s="631"/>
      <c r="C82" s="711" t="s">
        <v>398</v>
      </c>
      <c r="D82" s="635"/>
      <c r="E82" s="629">
        <f>Lead!Q27</f>
        <v>0.13614999999999999</v>
      </c>
      <c r="F82" s="629">
        <f>G81</f>
        <v>46458</v>
      </c>
      <c r="G82" s="637">
        <f>ROUND(F82*E82,2)</f>
        <v>6325.26</v>
      </c>
    </row>
    <row r="83" spans="1:7" s="740" customFormat="1" hidden="1">
      <c r="A83" s="625"/>
      <c r="B83" s="631"/>
      <c r="C83" s="711" t="s">
        <v>631</v>
      </c>
      <c r="D83" s="635"/>
      <c r="E83" s="629" t="e">
        <f>#REF!</f>
        <v>#REF!</v>
      </c>
      <c r="F83" s="629">
        <f>G76</f>
        <v>26700</v>
      </c>
      <c r="G83" s="637" t="e">
        <f>ROUND(F83*E83,2)</f>
        <v>#REF!</v>
      </c>
    </row>
    <row r="84" spans="1:7" s="740" customFormat="1" hidden="1">
      <c r="A84" s="631"/>
      <c r="B84" s="631"/>
      <c r="C84" s="711" t="s">
        <v>233</v>
      </c>
      <c r="D84" s="635"/>
      <c r="E84" s="629"/>
      <c r="F84" s="629"/>
      <c r="G84" s="637" t="e">
        <f>SUM(G81:G83)</f>
        <v>#REF!</v>
      </c>
    </row>
    <row r="85" spans="1:7" s="740" customFormat="1" hidden="1">
      <c r="A85" s="631"/>
      <c r="B85" s="631" t="s">
        <v>528</v>
      </c>
      <c r="C85" s="711" t="s">
        <v>117</v>
      </c>
      <c r="D85" s="635"/>
      <c r="E85" s="629"/>
      <c r="F85" s="629" t="s">
        <v>154</v>
      </c>
      <c r="G85" s="637" t="e">
        <f>G84/180</f>
        <v>#REF!</v>
      </c>
    </row>
    <row r="86" spans="1:7" s="739" customFormat="1" ht="31.5" hidden="1">
      <c r="A86" s="631"/>
      <c r="B86" s="631">
        <v>2</v>
      </c>
      <c r="C86" s="711" t="s">
        <v>234</v>
      </c>
      <c r="D86" s="632"/>
      <c r="E86" s="629"/>
      <c r="F86" s="629"/>
      <c r="G86" s="391"/>
    </row>
    <row r="87" spans="1:7" s="739" customFormat="1" ht="31.5" hidden="1">
      <c r="A87" s="701"/>
      <c r="B87" s="631"/>
      <c r="C87" s="628" t="s">
        <v>328</v>
      </c>
      <c r="D87" s="634">
        <v>10</v>
      </c>
      <c r="E87" s="629">
        <v>1</v>
      </c>
      <c r="F87" s="629">
        <v>1094</v>
      </c>
      <c r="G87" s="629">
        <f>ROUND(F87*E87,2)</f>
        <v>1094</v>
      </c>
    </row>
    <row r="88" spans="1:7" s="740" customFormat="1" ht="31.5" hidden="1">
      <c r="A88" s="631" t="s">
        <v>327</v>
      </c>
      <c r="B88" s="631"/>
      <c r="C88" s="711" t="s">
        <v>398</v>
      </c>
      <c r="D88" s="635"/>
      <c r="E88" s="629">
        <f>G87</f>
        <v>1094</v>
      </c>
      <c r="F88" s="629">
        <f>Lead!Q27</f>
        <v>0.13614999999999999</v>
      </c>
      <c r="G88" s="637">
        <f>ROUND(F88*E88,2)</f>
        <v>148.94999999999999</v>
      </c>
    </row>
    <row r="89" spans="1:7" s="740" customFormat="1" hidden="1">
      <c r="A89" s="631"/>
      <c r="B89" s="631"/>
      <c r="C89" s="711" t="s">
        <v>522</v>
      </c>
      <c r="D89" s="635"/>
      <c r="E89" s="629"/>
      <c r="F89" s="629"/>
      <c r="G89" s="637">
        <f>SUM(G87:G88)</f>
        <v>1242.95</v>
      </c>
    </row>
    <row r="90" spans="1:7" s="739" customFormat="1" hidden="1">
      <c r="A90" s="631"/>
      <c r="B90" s="631"/>
      <c r="C90" s="711" t="s">
        <v>236</v>
      </c>
      <c r="D90" s="634">
        <v>1</v>
      </c>
      <c r="E90" s="629">
        <v>1</v>
      </c>
      <c r="F90" s="629">
        <v>2277</v>
      </c>
      <c r="G90" s="629">
        <f>ROUND(F90*E90,2)</f>
        <v>2277</v>
      </c>
    </row>
    <row r="91" spans="1:7" s="740" customFormat="1" ht="31.5" hidden="1">
      <c r="A91" s="631" t="s">
        <v>424</v>
      </c>
      <c r="B91" s="631"/>
      <c r="C91" s="711" t="s">
        <v>398</v>
      </c>
      <c r="D91" s="635"/>
      <c r="E91" s="629">
        <f>G90</f>
        <v>2277</v>
      </c>
      <c r="F91" s="636">
        <f>Lead!Q27</f>
        <v>0.13614999999999999</v>
      </c>
      <c r="G91" s="629">
        <f>ROUND(F91*E91,2)</f>
        <v>310.01</v>
      </c>
    </row>
    <row r="92" spans="1:7" s="740" customFormat="1" hidden="1">
      <c r="A92" s="631"/>
      <c r="B92" s="631"/>
      <c r="C92" s="711" t="s">
        <v>118</v>
      </c>
      <c r="D92" s="635"/>
      <c r="E92" s="629"/>
      <c r="F92" s="629" t="s">
        <v>154</v>
      </c>
      <c r="G92" s="637">
        <f>SUM(G90:G91)</f>
        <v>2587.0100000000002</v>
      </c>
    </row>
    <row r="93" spans="1:7" s="739" customFormat="1" ht="110.25" hidden="1">
      <c r="A93" s="631"/>
      <c r="B93" s="631">
        <v>3</v>
      </c>
      <c r="C93" s="711" t="s">
        <v>945</v>
      </c>
      <c r="D93" s="634"/>
      <c r="E93" s="629"/>
      <c r="F93" s="629"/>
      <c r="G93" s="629"/>
    </row>
    <row r="94" spans="1:7" s="739" customFormat="1" ht="47.25" hidden="1">
      <c r="A94" s="701" t="s">
        <v>155</v>
      </c>
      <c r="B94" s="631"/>
      <c r="C94" s="628" t="s">
        <v>111</v>
      </c>
      <c r="D94" s="634"/>
      <c r="E94" s="629"/>
      <c r="F94" s="629"/>
      <c r="G94" s="647"/>
    </row>
    <row r="95" spans="1:7" s="739" customFormat="1" hidden="1">
      <c r="A95" s="633" t="s">
        <v>295</v>
      </c>
      <c r="B95" s="631"/>
      <c r="C95" s="628" t="s">
        <v>57</v>
      </c>
      <c r="D95" s="634"/>
      <c r="E95" s="629"/>
      <c r="F95" s="629"/>
      <c r="G95" s="629"/>
    </row>
    <row r="96" spans="1:7" s="739" customFormat="1" hidden="1">
      <c r="A96" s="633"/>
      <c r="B96" s="631"/>
      <c r="C96" s="628" t="s">
        <v>113</v>
      </c>
      <c r="D96" s="634"/>
      <c r="E96" s="629"/>
      <c r="F96" s="629"/>
      <c r="G96" s="629"/>
    </row>
    <row r="97" spans="1:7" s="739" customFormat="1" hidden="1">
      <c r="A97" s="633"/>
      <c r="B97" s="631"/>
      <c r="C97" s="628" t="s">
        <v>114</v>
      </c>
      <c r="D97" s="634" t="s">
        <v>55</v>
      </c>
      <c r="E97" s="629">
        <v>0.31</v>
      </c>
      <c r="F97" s="629">
        <f>Lead!R24</f>
        <v>445</v>
      </c>
      <c r="G97" s="629">
        <f>ROUND(F97*E97,2)</f>
        <v>137.94999999999999</v>
      </c>
    </row>
    <row r="98" spans="1:7" s="739" customFormat="1" hidden="1">
      <c r="A98" s="633"/>
      <c r="B98" s="631"/>
      <c r="C98" s="628" t="s">
        <v>315</v>
      </c>
      <c r="D98" s="634"/>
      <c r="E98" s="634">
        <f>Lead!Q26</f>
        <v>0.4</v>
      </c>
      <c r="F98" s="634">
        <f>SUM(G96:G97)</f>
        <v>137.94999999999999</v>
      </c>
      <c r="G98" s="634">
        <f>ROUND(F98*E98,2)</f>
        <v>55.18</v>
      </c>
    </row>
    <row r="99" spans="1:7" s="739" customFormat="1" hidden="1">
      <c r="A99" s="633"/>
      <c r="B99" s="631"/>
      <c r="C99" s="628" t="s">
        <v>58</v>
      </c>
      <c r="D99" s="634" t="s">
        <v>109</v>
      </c>
      <c r="E99" s="629">
        <v>6</v>
      </c>
      <c r="F99" s="629">
        <f>Lead!R11</f>
        <v>2284.56</v>
      </c>
      <c r="G99" s="629">
        <f>ROUND(F99*E99,2)</f>
        <v>13707.36</v>
      </c>
    </row>
    <row r="100" spans="1:7" s="740" customFormat="1" hidden="1">
      <c r="A100" s="633"/>
      <c r="B100" s="631"/>
      <c r="C100" s="711"/>
      <c r="D100" s="635"/>
      <c r="E100" s="629"/>
      <c r="F100" s="629"/>
      <c r="G100" s="637">
        <f>SUM(G97:G99)</f>
        <v>13900.49</v>
      </c>
    </row>
    <row r="101" spans="1:7" s="740" customFormat="1" hidden="1">
      <c r="A101" s="631"/>
      <c r="B101" s="631"/>
      <c r="C101" s="711" t="s">
        <v>398</v>
      </c>
      <c r="D101" s="635"/>
      <c r="E101" s="629">
        <f>G100</f>
        <v>13900.49</v>
      </c>
      <c r="F101" s="636">
        <f>Lead!Q27</f>
        <v>0.13614999999999999</v>
      </c>
      <c r="G101" s="637">
        <f>ROUND(F101*E101,2)</f>
        <v>1892.55</v>
      </c>
    </row>
    <row r="102" spans="1:7" s="739" customFormat="1" hidden="1">
      <c r="A102" s="631"/>
      <c r="B102" s="631"/>
      <c r="C102" s="711" t="s">
        <v>119</v>
      </c>
      <c r="D102" s="634"/>
      <c r="E102" s="634"/>
      <c r="F102" s="634"/>
      <c r="G102" s="634">
        <f>SUM(G100:G101)</f>
        <v>15793.039999999999</v>
      </c>
    </row>
    <row r="103" spans="1:7" s="740" customFormat="1" hidden="1">
      <c r="A103" s="633"/>
      <c r="B103" s="631"/>
      <c r="C103" s="711" t="s">
        <v>118</v>
      </c>
      <c r="D103" s="635"/>
      <c r="E103" s="629"/>
      <c r="F103" s="629" t="s">
        <v>154</v>
      </c>
      <c r="G103" s="637">
        <f>G102/6</f>
        <v>2632.1733333333332</v>
      </c>
    </row>
    <row r="104" spans="1:7" s="143" customFormat="1" ht="30" customHeight="1">
      <c r="A104" s="144"/>
      <c r="B104" s="145">
        <v>2</v>
      </c>
      <c r="C104" s="146" t="s">
        <v>234</v>
      </c>
      <c r="D104" s="147"/>
      <c r="E104" s="123"/>
      <c r="F104" s="88"/>
      <c r="G104" s="89"/>
    </row>
    <row r="105" spans="1:7" s="143" customFormat="1" ht="25.5">
      <c r="A105" s="155" t="s">
        <v>327</v>
      </c>
      <c r="B105" s="909" t="s">
        <v>1159</v>
      </c>
      <c r="C105" s="149" t="s">
        <v>328</v>
      </c>
      <c r="D105" s="150">
        <v>10</v>
      </c>
      <c r="E105" s="123">
        <v>1</v>
      </c>
      <c r="F105" s="910">
        <v>1127</v>
      </c>
      <c r="G105" s="90">
        <f>ROUND(F105*E105,2)</f>
        <v>1127</v>
      </c>
    </row>
    <row r="106" spans="1:7" s="157" customFormat="1" ht="12.75">
      <c r="A106" s="155"/>
      <c r="B106" s="145"/>
      <c r="C106" s="146" t="s">
        <v>398</v>
      </c>
      <c r="D106" s="156"/>
      <c r="E106" s="123">
        <f>G105</f>
        <v>1127</v>
      </c>
      <c r="F106" s="271">
        <f>'Lead Chart 24-25'!Q28</f>
        <v>0.13614999999999999</v>
      </c>
      <c r="G106" s="93">
        <f>ROUND(F106*E106,2)</f>
        <v>153.44</v>
      </c>
    </row>
    <row r="107" spans="1:7" s="157" customFormat="1" ht="12.75">
      <c r="A107" s="155"/>
      <c r="B107" s="145"/>
      <c r="C107" s="146" t="s">
        <v>522</v>
      </c>
      <c r="D107" s="156"/>
      <c r="E107" s="123"/>
      <c r="F107" s="88"/>
      <c r="G107" s="93">
        <f>SUM(G105:G106)</f>
        <v>1280.44</v>
      </c>
    </row>
    <row r="108" spans="1:7" s="143" customFormat="1" ht="25.5">
      <c r="A108" s="155" t="s">
        <v>424</v>
      </c>
      <c r="B108" s="909" t="s">
        <v>1160</v>
      </c>
      <c r="C108" s="146" t="s">
        <v>236</v>
      </c>
      <c r="D108" s="150">
        <v>1</v>
      </c>
      <c r="E108" s="123">
        <v>1</v>
      </c>
      <c r="F108" s="910">
        <v>2345</v>
      </c>
      <c r="G108" s="90">
        <f>ROUND(F108*E108,2)</f>
        <v>2345</v>
      </c>
    </row>
    <row r="109" spans="1:7" s="157" customFormat="1" ht="12.75">
      <c r="A109" s="155"/>
      <c r="B109" s="145"/>
      <c r="C109" s="146" t="s">
        <v>398</v>
      </c>
      <c r="D109" s="156"/>
      <c r="E109" s="123">
        <f>G108</f>
        <v>2345</v>
      </c>
      <c r="F109" s="271">
        <f>F106</f>
        <v>0.13614999999999999</v>
      </c>
      <c r="G109" s="90">
        <f>ROUND(F109*E109,2)</f>
        <v>319.27</v>
      </c>
    </row>
    <row r="110" spans="1:7" s="157" customFormat="1" ht="12.75">
      <c r="A110" s="155"/>
      <c r="B110" s="145"/>
      <c r="C110" s="146" t="s">
        <v>118</v>
      </c>
      <c r="D110" s="156"/>
      <c r="E110" s="123"/>
      <c r="F110" s="88" t="s">
        <v>154</v>
      </c>
      <c r="G110" s="96">
        <f>SUM(G108:G109)</f>
        <v>2664.27</v>
      </c>
    </row>
    <row r="111" spans="1:7" s="739" customFormat="1" ht="66" hidden="1" customHeight="1">
      <c r="A111" s="631"/>
      <c r="B111" s="626">
        <v>3</v>
      </c>
      <c r="C111" s="1595" t="s">
        <v>990</v>
      </c>
      <c r="D111" s="1595"/>
      <c r="E111" s="1595"/>
      <c r="F111" s="1595"/>
      <c r="G111" s="1595"/>
    </row>
    <row r="112" spans="1:7" s="739" customFormat="1" hidden="1">
      <c r="A112" s="701"/>
      <c r="B112" s="631"/>
      <c r="C112" s="628" t="s">
        <v>111</v>
      </c>
      <c r="D112" s="634"/>
      <c r="E112" s="629"/>
      <c r="F112" s="629"/>
      <c r="G112" s="629"/>
    </row>
    <row r="113" spans="1:7" s="739" customFormat="1" hidden="1">
      <c r="A113" s="633" t="s">
        <v>295</v>
      </c>
      <c r="B113" s="631"/>
      <c r="C113" s="628" t="s">
        <v>57</v>
      </c>
      <c r="D113" s="634"/>
      <c r="E113" s="629"/>
      <c r="F113" s="629"/>
      <c r="G113" s="629"/>
    </row>
    <row r="114" spans="1:7" s="739" customFormat="1" hidden="1">
      <c r="A114" s="633"/>
      <c r="B114" s="631"/>
      <c r="C114" s="628" t="s">
        <v>113</v>
      </c>
      <c r="D114" s="634"/>
      <c r="E114" s="629"/>
      <c r="F114" s="629"/>
      <c r="G114" s="637"/>
    </row>
    <row r="115" spans="1:7" s="739" customFormat="1" hidden="1">
      <c r="A115" s="633"/>
      <c r="B115" s="631"/>
      <c r="C115" s="628" t="s">
        <v>114</v>
      </c>
      <c r="D115" s="634" t="s">
        <v>55</v>
      </c>
      <c r="E115" s="629">
        <v>0.31</v>
      </c>
      <c r="F115" s="629">
        <f>'Lead Chart 24-25'!C63</f>
        <v>575</v>
      </c>
      <c r="G115" s="629">
        <f>ROUND(F115*E115,2)</f>
        <v>178.25</v>
      </c>
    </row>
    <row r="116" spans="1:7" s="739" customFormat="1" hidden="1">
      <c r="A116" s="633"/>
      <c r="B116" s="631"/>
      <c r="C116" s="628" t="s">
        <v>716</v>
      </c>
      <c r="D116" s="634" t="s">
        <v>109</v>
      </c>
      <c r="E116" s="629">
        <v>6</v>
      </c>
      <c r="F116" s="629">
        <f>'Lead Chart 24-25'!N14</f>
        <v>1658.7679333714736</v>
      </c>
      <c r="G116" s="629">
        <f>ROUND(F116*E116,2)</f>
        <v>9952.61</v>
      </c>
    </row>
    <row r="117" spans="1:7" s="740" customFormat="1" hidden="1">
      <c r="A117" s="633"/>
      <c r="B117" s="631"/>
      <c r="C117" s="711" t="s">
        <v>398</v>
      </c>
      <c r="D117" s="635"/>
      <c r="E117" s="647">
        <f>SUM(G115:G116)</f>
        <v>10130.86</v>
      </c>
      <c r="F117" s="736">
        <f>'Lead 20-21'!J50</f>
        <v>0.13614999999999999</v>
      </c>
      <c r="G117" s="781">
        <f>ROUND(F117*E117,2)</f>
        <v>1379.32</v>
      </c>
    </row>
    <row r="118" spans="1:7" s="739" customFormat="1" hidden="1">
      <c r="A118" s="633"/>
      <c r="B118" s="631"/>
      <c r="C118" s="815" t="s">
        <v>1046</v>
      </c>
      <c r="D118" s="634"/>
      <c r="E118" s="634">
        <f>'Lead Chart 24-25'!J63</f>
        <v>0</v>
      </c>
      <c r="F118" s="634">
        <f>G115</f>
        <v>178.25</v>
      </c>
      <c r="G118" s="634">
        <f>ROUND(F118*E118,2)</f>
        <v>0</v>
      </c>
    </row>
    <row r="119" spans="1:7" s="740" customFormat="1" hidden="1">
      <c r="A119" s="631"/>
      <c r="B119" s="631"/>
      <c r="C119" s="711" t="s">
        <v>119</v>
      </c>
      <c r="D119" s="635"/>
      <c r="E119" s="629"/>
      <c r="F119" s="629"/>
      <c r="G119" s="637">
        <f>SUM(G115:G118)</f>
        <v>11510.18</v>
      </c>
    </row>
    <row r="120" spans="1:7" s="740" customFormat="1" hidden="1">
      <c r="A120" s="631"/>
      <c r="B120" s="631"/>
      <c r="C120" s="711" t="s">
        <v>524</v>
      </c>
      <c r="D120" s="635"/>
      <c r="E120" s="629"/>
      <c r="F120" s="629" t="s">
        <v>154</v>
      </c>
      <c r="G120" s="637">
        <f>ROUND(G119/6,2)</f>
        <v>1918.36</v>
      </c>
    </row>
    <row r="121" spans="1:7" s="740" customFormat="1" hidden="1">
      <c r="A121" s="631"/>
      <c r="B121" s="631"/>
      <c r="C121" s="711"/>
      <c r="D121" s="635"/>
      <c r="E121" s="629"/>
      <c r="F121" s="629"/>
      <c r="G121" s="637"/>
    </row>
    <row r="122" spans="1:7" s="843" customFormat="1" ht="63" hidden="1" customHeight="1">
      <c r="A122" s="844" t="s">
        <v>126</v>
      </c>
      <c r="B122" s="631">
        <v>4</v>
      </c>
      <c r="C122" s="1595" t="s">
        <v>1076</v>
      </c>
      <c r="D122" s="1595"/>
      <c r="E122" s="1595"/>
      <c r="F122" s="1595"/>
      <c r="G122" s="1595"/>
    </row>
    <row r="123" spans="1:7" s="843" customFormat="1" ht="19.5" hidden="1" customHeight="1">
      <c r="B123" s="631"/>
      <c r="C123" s="873" t="s">
        <v>111</v>
      </c>
      <c r="D123" s="634"/>
      <c r="E123" s="629"/>
      <c r="F123" s="629"/>
      <c r="G123" s="629"/>
    </row>
    <row r="124" spans="1:7" s="843" customFormat="1" hidden="1">
      <c r="A124" s="846" t="s">
        <v>295</v>
      </c>
      <c r="B124" s="631"/>
      <c r="C124" s="873" t="s">
        <v>112</v>
      </c>
      <c r="D124" s="634"/>
      <c r="E124" s="629"/>
      <c r="F124" s="629"/>
      <c r="G124" s="629"/>
    </row>
    <row r="125" spans="1:7" s="843" customFormat="1" hidden="1">
      <c r="A125" s="846" t="s">
        <v>130</v>
      </c>
      <c r="B125" s="631"/>
      <c r="C125" s="873" t="s">
        <v>113</v>
      </c>
      <c r="D125" s="634"/>
      <c r="E125" s="629"/>
      <c r="F125" s="629"/>
      <c r="G125" s="637"/>
    </row>
    <row r="126" spans="1:7" s="843" customFormat="1" hidden="1">
      <c r="A126" s="846"/>
      <c r="B126" s="631"/>
      <c r="C126" s="873" t="s">
        <v>114</v>
      </c>
      <c r="D126" s="634" t="s">
        <v>55</v>
      </c>
      <c r="E126" s="629">
        <v>2.5</v>
      </c>
      <c r="F126" s="629">
        <f>F115</f>
        <v>575</v>
      </c>
      <c r="G126" s="629">
        <f>ROUND(F126*E126,2)</f>
        <v>1437.5</v>
      </c>
    </row>
    <row r="127" spans="1:7" s="843" customFormat="1" hidden="1">
      <c r="A127" s="846"/>
      <c r="B127" s="631"/>
      <c r="C127" s="873" t="s">
        <v>716</v>
      </c>
      <c r="D127" s="634" t="s">
        <v>109</v>
      </c>
      <c r="E127" s="629">
        <v>10</v>
      </c>
      <c r="F127" s="648">
        <f>'Lead Chart 24-25'!N15</f>
        <v>1447.5179333714736</v>
      </c>
      <c r="G127" s="629">
        <f>ROUND(F127*E127,2)</f>
        <v>14475.18</v>
      </c>
    </row>
    <row r="128" spans="1:7" s="850" customFormat="1" hidden="1">
      <c r="A128" s="846"/>
      <c r="B128" s="631"/>
      <c r="C128" s="872" t="s">
        <v>398</v>
      </c>
      <c r="D128" s="635"/>
      <c r="E128" s="629">
        <f>SUM(G126:G127)</f>
        <v>15912.68</v>
      </c>
      <c r="F128" s="636">
        <v>0.13614999999999999</v>
      </c>
      <c r="G128" s="637">
        <f>ROUND(F128*E128,2)</f>
        <v>2166.5100000000002</v>
      </c>
    </row>
    <row r="129" spans="1:7" s="843" customFormat="1" hidden="1">
      <c r="A129" s="846"/>
      <c r="B129" s="631"/>
      <c r="C129" s="873" t="s">
        <v>315</v>
      </c>
      <c r="D129" s="634"/>
      <c r="E129" s="634">
        <f>'Lead Chart 24-25'!J63</f>
        <v>0</v>
      </c>
      <c r="F129" s="634">
        <f>G126</f>
        <v>1437.5</v>
      </c>
      <c r="G129" s="634">
        <f>ROUND(F129*E129,2)</f>
        <v>0</v>
      </c>
    </row>
    <row r="130" spans="1:7" s="850" customFormat="1" hidden="1">
      <c r="A130" s="842"/>
      <c r="B130" s="631"/>
      <c r="C130" s="872" t="s">
        <v>316</v>
      </c>
      <c r="D130" s="635"/>
      <c r="E130" s="629"/>
      <c r="F130" s="629"/>
      <c r="G130" s="637">
        <f>SUM(G126:G129)</f>
        <v>18079.190000000002</v>
      </c>
    </row>
    <row r="131" spans="1:7" s="850" customFormat="1" hidden="1">
      <c r="A131" s="842"/>
      <c r="B131" s="631"/>
      <c r="C131" s="872" t="s">
        <v>524</v>
      </c>
      <c r="D131" s="635"/>
      <c r="E131" s="629"/>
      <c r="F131" s="629" t="s">
        <v>154</v>
      </c>
      <c r="G131" s="637">
        <f>ROUND(G130/10,2)</f>
        <v>1807.92</v>
      </c>
    </row>
    <row r="132" spans="1:7" s="850" customFormat="1" ht="12.75" hidden="1">
      <c r="A132" s="842"/>
      <c r="B132" s="842"/>
      <c r="C132" s="848"/>
      <c r="D132" s="849"/>
      <c r="E132" s="845"/>
      <c r="F132" s="845"/>
      <c r="G132" s="847"/>
    </row>
    <row r="133" spans="1:7" s="740" customFormat="1" ht="77.25" hidden="1" customHeight="1">
      <c r="A133" s="631"/>
      <c r="B133" s="626">
        <v>4</v>
      </c>
      <c r="C133" s="1645" t="s">
        <v>986</v>
      </c>
      <c r="D133" s="1645"/>
      <c r="E133" s="1645"/>
      <c r="F133" s="1645"/>
      <c r="G133" s="1645"/>
    </row>
    <row r="134" spans="1:7" s="740" customFormat="1" hidden="1">
      <c r="A134" s="631"/>
      <c r="B134" s="631"/>
      <c r="C134" s="646" t="s">
        <v>991</v>
      </c>
      <c r="D134" s="635"/>
      <c r="E134" s="629"/>
      <c r="F134" s="629"/>
      <c r="G134" s="637"/>
    </row>
    <row r="135" spans="1:7" s="740" customFormat="1" hidden="1">
      <c r="A135" s="631"/>
      <c r="B135" s="631"/>
      <c r="C135" s="711" t="s">
        <v>533</v>
      </c>
      <c r="D135" s="635"/>
      <c r="E135" s="629"/>
      <c r="F135" s="629"/>
      <c r="G135" s="637"/>
    </row>
    <row r="136" spans="1:7" s="740" customFormat="1" hidden="1">
      <c r="A136" s="631"/>
      <c r="B136" s="631"/>
      <c r="C136" s="628" t="s">
        <v>623</v>
      </c>
      <c r="D136" s="634" t="s">
        <v>968</v>
      </c>
      <c r="E136" s="629">
        <v>0</v>
      </c>
      <c r="F136" s="629" t="s">
        <v>108</v>
      </c>
      <c r="G136" s="637"/>
    </row>
    <row r="137" spans="1:7" s="740" customFormat="1" hidden="1">
      <c r="A137" s="631"/>
      <c r="B137" s="631"/>
      <c r="C137" s="628" t="s">
        <v>92</v>
      </c>
      <c r="D137" s="634" t="s">
        <v>968</v>
      </c>
      <c r="E137" s="647">
        <v>0.31</v>
      </c>
      <c r="F137" s="647">
        <f>F115</f>
        <v>575</v>
      </c>
      <c r="G137" s="710">
        <f>E137*F137</f>
        <v>178.25</v>
      </c>
    </row>
    <row r="138" spans="1:7" s="740" customFormat="1" ht="21.75" hidden="1" customHeight="1">
      <c r="A138" s="631"/>
      <c r="B138" s="631"/>
      <c r="C138" s="816" t="s">
        <v>1047</v>
      </c>
      <c r="D138" s="635"/>
      <c r="E138" s="647">
        <f>'Lead Chart 24-25'!J63</f>
        <v>0</v>
      </c>
      <c r="F138" s="647">
        <f>G137</f>
        <v>178.25</v>
      </c>
      <c r="G138" s="710">
        <f>E138*F138</f>
        <v>0</v>
      </c>
    </row>
    <row r="139" spans="1:7" s="740" customFormat="1" hidden="1">
      <c r="A139" s="631"/>
      <c r="B139" s="631"/>
      <c r="C139" s="711" t="s">
        <v>547</v>
      </c>
      <c r="D139" s="635"/>
      <c r="E139" s="629">
        <v>0.13614999999999999</v>
      </c>
      <c r="F139" s="629">
        <f>G137</f>
        <v>178.25</v>
      </c>
      <c r="G139" s="637">
        <f>E139*F139</f>
        <v>24.2687375</v>
      </c>
    </row>
    <row r="140" spans="1:7" s="740" customFormat="1" hidden="1">
      <c r="A140" s="631"/>
      <c r="B140" s="631"/>
      <c r="C140" s="628" t="s">
        <v>548</v>
      </c>
      <c r="D140" s="635"/>
      <c r="E140" s="629"/>
      <c r="F140" s="629"/>
      <c r="G140" s="637">
        <f>SUM(G137:G139)</f>
        <v>202.51873749999999</v>
      </c>
    </row>
    <row r="141" spans="1:7" s="740" customFormat="1" hidden="1">
      <c r="A141" s="631"/>
      <c r="B141" s="631"/>
      <c r="C141" s="628" t="s">
        <v>549</v>
      </c>
      <c r="D141" s="635"/>
      <c r="E141" s="629"/>
      <c r="F141" s="629"/>
      <c r="G141" s="637">
        <f>G140/6</f>
        <v>33.753122916666662</v>
      </c>
    </row>
    <row r="142" spans="1:7" s="740" customFormat="1" hidden="1">
      <c r="A142" s="631"/>
      <c r="B142" s="631"/>
      <c r="C142" s="711" t="s">
        <v>550</v>
      </c>
      <c r="D142" s="635"/>
      <c r="E142" s="629"/>
      <c r="F142" s="629"/>
      <c r="G142" s="637">
        <f>ROUND(G141,2)</f>
        <v>33.75</v>
      </c>
    </row>
    <row r="143" spans="1:7" s="740" customFormat="1" ht="55.5" hidden="1" customHeight="1">
      <c r="A143" s="631"/>
      <c r="B143" s="701">
        <v>5</v>
      </c>
      <c r="C143" s="1638" t="s">
        <v>738</v>
      </c>
      <c r="D143" s="1639"/>
      <c r="E143" s="1639"/>
      <c r="F143" s="1639"/>
      <c r="G143" s="1640"/>
    </row>
    <row r="144" spans="1:7" s="740" customFormat="1" hidden="1">
      <c r="A144" s="631"/>
      <c r="B144" s="701"/>
      <c r="C144" s="653" t="s">
        <v>618</v>
      </c>
      <c r="D144" s="391" t="s">
        <v>109</v>
      </c>
      <c r="E144" s="629"/>
      <c r="F144" s="740">
        <f>113.6-42.6</f>
        <v>71</v>
      </c>
      <c r="G144" s="740">
        <f>113.6-42.6</f>
        <v>71</v>
      </c>
    </row>
    <row r="145" spans="1:10" s="740" customFormat="1" hidden="1">
      <c r="A145" s="631"/>
      <c r="B145" s="701"/>
      <c r="C145" s="654" t="s">
        <v>553</v>
      </c>
      <c r="D145" s="391"/>
      <c r="E145" s="629"/>
      <c r="F145" s="645"/>
      <c r="G145" s="643">
        <f>SUM(G144:G144)</f>
        <v>71</v>
      </c>
    </row>
    <row r="146" spans="1:10" s="740" customFormat="1" hidden="1">
      <c r="A146" s="631"/>
      <c r="B146" s="701"/>
      <c r="C146" s="654"/>
      <c r="D146" s="391"/>
      <c r="E146" s="629"/>
      <c r="F146" s="645"/>
      <c r="G146" s="645"/>
    </row>
    <row r="147" spans="1:10" s="740" customFormat="1" ht="53.25" hidden="1" customHeight="1">
      <c r="A147" s="631"/>
      <c r="B147" s="701">
        <v>6</v>
      </c>
      <c r="C147" s="1638" t="s">
        <v>554</v>
      </c>
      <c r="D147" s="1639"/>
      <c r="E147" s="1639"/>
      <c r="F147" s="1639"/>
      <c r="G147" s="1640"/>
    </row>
    <row r="148" spans="1:10" s="740" customFormat="1" hidden="1">
      <c r="A148" s="631"/>
      <c r="B148" s="701"/>
      <c r="C148" s="653" t="s">
        <v>618</v>
      </c>
      <c r="D148" s="391" t="s">
        <v>109</v>
      </c>
      <c r="E148" s="629"/>
      <c r="F148" s="740">
        <f>113.6-41.1</f>
        <v>72.5</v>
      </c>
      <c r="G148" s="645">
        <f>F148</f>
        <v>72.5</v>
      </c>
      <c r="I148" s="740">
        <f>113.6-42.6</f>
        <v>71</v>
      </c>
    </row>
    <row r="149" spans="1:10" s="740" customFormat="1" hidden="1">
      <c r="A149" s="631"/>
      <c r="B149" s="701"/>
      <c r="C149" s="654" t="s">
        <v>553</v>
      </c>
      <c r="D149" s="391"/>
      <c r="E149" s="629"/>
      <c r="F149" s="645"/>
      <c r="G149" s="643">
        <f>SUM(G148:G148)</f>
        <v>72.5</v>
      </c>
    </row>
    <row r="150" spans="1:10" s="740" customFormat="1" ht="81" customHeight="1">
      <c r="A150" s="631"/>
      <c r="B150" s="701">
        <v>7</v>
      </c>
      <c r="C150" s="1645" t="s">
        <v>970</v>
      </c>
      <c r="D150" s="1645"/>
      <c r="E150" s="1645"/>
      <c r="F150" s="1645"/>
      <c r="G150" s="1645"/>
    </row>
    <row r="151" spans="1:10" s="740" customFormat="1">
      <c r="A151" s="702"/>
      <c r="B151" s="702"/>
      <c r="C151" s="651" t="s">
        <v>994</v>
      </c>
      <c r="D151" s="391"/>
      <c r="E151" s="629"/>
      <c r="F151" s="629"/>
      <c r="G151" s="645"/>
    </row>
    <row r="152" spans="1:10" s="740" customFormat="1">
      <c r="A152" s="702"/>
      <c r="B152" s="701" t="s">
        <v>196</v>
      </c>
      <c r="C152" s="711" t="s">
        <v>197</v>
      </c>
      <c r="D152" s="391"/>
      <c r="E152" s="629"/>
      <c r="F152" s="629"/>
      <c r="G152" s="645"/>
    </row>
    <row r="153" spans="1:10" s="740" customFormat="1">
      <c r="A153" s="702"/>
      <c r="B153" s="701"/>
      <c r="C153" s="711" t="s">
        <v>179</v>
      </c>
      <c r="D153" s="391"/>
      <c r="E153" s="629"/>
      <c r="F153" s="629"/>
      <c r="G153" s="645"/>
    </row>
    <row r="154" spans="1:10" s="740" customFormat="1" ht="18.75">
      <c r="A154" s="702"/>
      <c r="B154" s="701"/>
      <c r="C154" s="628" t="s">
        <v>947</v>
      </c>
      <c r="D154" s="391" t="s">
        <v>18</v>
      </c>
      <c r="E154" s="629">
        <v>1.05</v>
      </c>
      <c r="F154" s="629">
        <f>'Lead Chart 24-25'!C64</f>
        <v>645</v>
      </c>
      <c r="G154" s="645">
        <f>ROUND(F154*E154,2)</f>
        <v>677.25</v>
      </c>
    </row>
    <row r="155" spans="1:10" s="740" customFormat="1" ht="18.75">
      <c r="A155" s="702"/>
      <c r="B155" s="701"/>
      <c r="C155" s="628" t="s">
        <v>950</v>
      </c>
      <c r="D155" s="391" t="s">
        <v>18</v>
      </c>
      <c r="E155" s="629">
        <v>2.4500000000000002</v>
      </c>
      <c r="F155" s="629">
        <f>'Lead Chart 24-25'!C65</f>
        <v>615</v>
      </c>
      <c r="G155" s="645">
        <f>ROUND(F155*E155,2)</f>
        <v>1506.75</v>
      </c>
    </row>
    <row r="156" spans="1:10" s="740" customFormat="1">
      <c r="A156" s="702"/>
      <c r="B156" s="701"/>
      <c r="C156" s="628" t="s">
        <v>243</v>
      </c>
      <c r="D156" s="391" t="s">
        <v>18</v>
      </c>
      <c r="E156" s="629">
        <v>4.5</v>
      </c>
      <c r="F156" s="629">
        <f>'Lead Chart 24-25'!C63</f>
        <v>575</v>
      </c>
      <c r="G156" s="645">
        <f>ROUND(F156*E156,2)</f>
        <v>2587.5</v>
      </c>
    </row>
    <row r="157" spans="1:10" s="740" customFormat="1">
      <c r="A157" s="702"/>
      <c r="B157" s="701"/>
      <c r="C157" s="628" t="s">
        <v>180</v>
      </c>
      <c r="D157" s="391" t="s">
        <v>18</v>
      </c>
      <c r="E157" s="629">
        <v>1.25</v>
      </c>
      <c r="F157" s="629">
        <f>'Lead Chart 24-25'!C63</f>
        <v>575</v>
      </c>
      <c r="G157" s="645">
        <f>ROUND(F157*E157,2)</f>
        <v>718.75</v>
      </c>
    </row>
    <row r="158" spans="1:10" s="740" customFormat="1">
      <c r="A158" s="702"/>
      <c r="B158" s="701"/>
      <c r="C158" s="711" t="s">
        <v>245</v>
      </c>
      <c r="D158" s="391"/>
      <c r="E158" s="629"/>
      <c r="F158" s="629"/>
      <c r="G158" s="645"/>
    </row>
    <row r="159" spans="1:10" s="740" customFormat="1">
      <c r="A159" s="702"/>
      <c r="B159" s="701"/>
      <c r="C159" s="628" t="s">
        <v>199</v>
      </c>
      <c r="D159" s="391" t="s">
        <v>557</v>
      </c>
      <c r="E159" s="629">
        <v>30</v>
      </c>
      <c r="F159" s="629">
        <v>578</v>
      </c>
      <c r="G159" s="645">
        <f>ROUND(F159*E159,2)</f>
        <v>17340</v>
      </c>
      <c r="I159" s="740">
        <f>555/50</f>
        <v>11.1</v>
      </c>
      <c r="J159" s="740">
        <f>I159*30</f>
        <v>333</v>
      </c>
    </row>
    <row r="160" spans="1:10" s="740" customFormat="1">
      <c r="A160" s="702"/>
      <c r="B160" s="701"/>
      <c r="C160" s="628" t="s">
        <v>183</v>
      </c>
      <c r="D160" s="391" t="s">
        <v>96</v>
      </c>
      <c r="E160" s="629">
        <v>0.13</v>
      </c>
      <c r="F160" s="629">
        <v>5600</v>
      </c>
      <c r="G160" s="645">
        <f>ROUND(F160*E160,2)</f>
        <v>728</v>
      </c>
    </row>
    <row r="161" spans="1:7" s="740" customFormat="1">
      <c r="A161" s="702"/>
      <c r="B161" s="701"/>
      <c r="C161" s="628" t="s">
        <v>185</v>
      </c>
      <c r="D161" s="391" t="s">
        <v>290</v>
      </c>
      <c r="E161" s="629">
        <v>9.0999999999999998E-2</v>
      </c>
      <c r="F161" s="629">
        <f>'Lead Chart 24-25'!N17</f>
        <v>1739.9439994719005</v>
      </c>
      <c r="G161" s="645">
        <f>ROUND(F161*E161,2)</f>
        <v>158.33000000000001</v>
      </c>
    </row>
    <row r="162" spans="1:7" s="740" customFormat="1">
      <c r="A162" s="702"/>
      <c r="B162" s="701"/>
      <c r="C162" s="628" t="s">
        <v>186</v>
      </c>
      <c r="D162" s="391" t="s">
        <v>125</v>
      </c>
      <c r="E162" s="629">
        <v>12</v>
      </c>
      <c r="F162" s="629">
        <v>130</v>
      </c>
      <c r="G162" s="645">
        <f>ROUND(F162*E162,2)</f>
        <v>1560</v>
      </c>
    </row>
    <row r="163" spans="1:7" s="740" customFormat="1">
      <c r="A163" s="702"/>
      <c r="B163" s="701"/>
      <c r="C163" s="711" t="s">
        <v>187</v>
      </c>
      <c r="D163" s="391"/>
      <c r="E163" s="629"/>
      <c r="F163" s="629"/>
      <c r="G163" s="643">
        <f>SUM(G154:G162)</f>
        <v>25276.58</v>
      </c>
    </row>
    <row r="164" spans="1:7" s="740" customFormat="1" ht="31.5">
      <c r="A164" s="702"/>
      <c r="B164" s="701"/>
      <c r="C164" s="711" t="s">
        <v>188</v>
      </c>
      <c r="D164" s="391"/>
      <c r="E164" s="647">
        <f>G163</f>
        <v>25276.58</v>
      </c>
      <c r="F164" s="647">
        <v>0.01</v>
      </c>
      <c r="G164" s="723">
        <f>E164*F164</f>
        <v>252.76580000000001</v>
      </c>
    </row>
    <row r="165" spans="1:7" s="740" customFormat="1">
      <c r="A165" s="702"/>
      <c r="B165" s="701"/>
      <c r="C165" s="711" t="s">
        <v>189</v>
      </c>
      <c r="D165" s="391"/>
      <c r="E165" s="629"/>
      <c r="F165" s="629"/>
      <c r="G165" s="643">
        <f>SUM(G163:G164)</f>
        <v>25529.345800000003</v>
      </c>
    </row>
    <row r="166" spans="1:7" s="740" customFormat="1">
      <c r="A166" s="702"/>
      <c r="B166" s="701"/>
      <c r="C166" s="646" t="s">
        <v>190</v>
      </c>
      <c r="D166" s="391"/>
      <c r="E166" s="649">
        <f>Lead!Q27</f>
        <v>0.13614999999999999</v>
      </c>
      <c r="F166" s="629">
        <f>G165</f>
        <v>25529.345800000003</v>
      </c>
      <c r="G166" s="645">
        <f>ROUND(F166*E166,2)</f>
        <v>3475.82</v>
      </c>
    </row>
    <row r="167" spans="1:7" s="740" customFormat="1">
      <c r="A167" s="702"/>
      <c r="B167" s="701"/>
      <c r="C167" s="646" t="s">
        <v>1038</v>
      </c>
      <c r="D167" s="391"/>
      <c r="E167" s="817">
        <f>'Lead Chart 24-25'!J63</f>
        <v>0</v>
      </c>
      <c r="F167" s="629">
        <f>SUM(G154:G157)</f>
        <v>5490.25</v>
      </c>
      <c r="G167" s="645">
        <f>ROUND(F167*E167,2)</f>
        <v>0</v>
      </c>
    </row>
    <row r="168" spans="1:7" s="740" customFormat="1">
      <c r="A168" s="702"/>
      <c r="B168" s="701"/>
      <c r="C168" s="628" t="s">
        <v>992</v>
      </c>
      <c r="D168" s="391"/>
      <c r="E168" s="629"/>
      <c r="F168" s="629"/>
      <c r="G168" s="645">
        <f>SUM(G165:G167)</f>
        <v>29005.165800000002</v>
      </c>
    </row>
    <row r="169" spans="1:7" s="740" customFormat="1">
      <c r="A169" s="702"/>
      <c r="B169" s="701"/>
      <c r="C169" s="711" t="s">
        <v>192</v>
      </c>
      <c r="D169" s="391"/>
      <c r="E169" s="629"/>
      <c r="F169" s="629" t="s">
        <v>154</v>
      </c>
      <c r="G169" s="643">
        <f>ROUND(G168/30,2)</f>
        <v>966.84</v>
      </c>
    </row>
    <row r="170" spans="1:7" s="740" customFormat="1">
      <c r="A170" s="624"/>
      <c r="B170" s="701"/>
      <c r="C170" s="628"/>
      <c r="D170" s="391"/>
      <c r="E170" s="629"/>
      <c r="F170" s="645"/>
      <c r="G170" s="645"/>
    </row>
    <row r="171" spans="1:7" s="739" customFormat="1">
      <c r="A171" s="631"/>
      <c r="B171" s="631"/>
      <c r="C171" s="711" t="s">
        <v>50</v>
      </c>
      <c r="D171" s="634"/>
      <c r="E171" s="629"/>
      <c r="F171" s="629"/>
      <c r="G171" s="629"/>
    </row>
    <row r="172" spans="1:7" s="748" customFormat="1" ht="27" customHeight="1">
      <c r="A172" s="1101" t="s">
        <v>49</v>
      </c>
      <c r="B172" s="701">
        <v>5</v>
      </c>
      <c r="C172" s="711" t="s">
        <v>21</v>
      </c>
      <c r="D172" s="635"/>
      <c r="E172" s="629"/>
      <c r="F172" s="629"/>
      <c r="G172" s="637"/>
    </row>
    <row r="173" spans="1:7" s="1105" customFormat="1" ht="18" customHeight="1">
      <c r="A173" s="1101" t="s">
        <v>20</v>
      </c>
      <c r="B173" s="1101"/>
      <c r="C173" s="1102" t="s">
        <v>11</v>
      </c>
      <c r="D173" s="1103"/>
      <c r="E173" s="1104"/>
      <c r="F173" s="1104"/>
      <c r="G173" s="1104"/>
    </row>
    <row r="174" spans="1:7">
      <c r="A174" s="391"/>
      <c r="B174" s="701"/>
      <c r="C174" s="814" t="s">
        <v>12</v>
      </c>
      <c r="D174" s="634"/>
      <c r="E174" s="629"/>
      <c r="F174" s="629"/>
      <c r="G174" s="629"/>
    </row>
    <row r="175" spans="1:7">
      <c r="A175" s="391"/>
      <c r="B175" s="701"/>
      <c r="C175" s="628" t="s">
        <v>107</v>
      </c>
      <c r="D175" s="634" t="s">
        <v>13</v>
      </c>
      <c r="E175" s="629">
        <v>480</v>
      </c>
      <c r="F175" s="629">
        <f>'Lead 20-21'!N41</f>
        <v>5000</v>
      </c>
      <c r="G175" s="629">
        <f>ROUND(E175*F175/1000,2)</f>
        <v>2400</v>
      </c>
    </row>
    <row r="176" spans="1:7">
      <c r="A176" s="391"/>
      <c r="B176" s="701"/>
      <c r="C176" s="628" t="s">
        <v>14</v>
      </c>
      <c r="D176" s="634" t="s">
        <v>290</v>
      </c>
      <c r="E176" s="629">
        <v>1.05</v>
      </c>
      <c r="F176" s="629">
        <f>F186</f>
        <v>1739.9439994719005</v>
      </c>
      <c r="G176" s="629">
        <f>ROUND(E176*F176,2)</f>
        <v>1826.94</v>
      </c>
    </row>
    <row r="177" spans="1:7">
      <c r="A177" s="391"/>
      <c r="B177" s="701"/>
      <c r="C177" s="628" t="s">
        <v>15</v>
      </c>
      <c r="D177" s="634"/>
      <c r="E177" s="629"/>
      <c r="F177" s="629"/>
      <c r="G177" s="629"/>
    </row>
    <row r="178" spans="1:7">
      <c r="A178" s="391"/>
      <c r="B178" s="701"/>
      <c r="C178" s="814" t="s">
        <v>16</v>
      </c>
      <c r="D178" s="634"/>
      <c r="E178" s="629"/>
      <c r="F178" s="629"/>
      <c r="G178" s="629"/>
    </row>
    <row r="179" spans="1:7">
      <c r="A179" s="391"/>
      <c r="B179" s="701"/>
      <c r="C179" s="628" t="s">
        <v>17</v>
      </c>
      <c r="D179" s="634" t="s">
        <v>18</v>
      </c>
      <c r="E179" s="629">
        <v>0.2</v>
      </c>
      <c r="F179" s="629">
        <f>'Lead Chart 24-25'!C63</f>
        <v>575</v>
      </c>
      <c r="G179" s="629">
        <f>ROUND(E179*F179,2)</f>
        <v>115</v>
      </c>
    </row>
    <row r="180" spans="1:7" s="739" customFormat="1">
      <c r="A180" s="391"/>
      <c r="B180" s="631"/>
      <c r="C180" s="815" t="s">
        <v>1048</v>
      </c>
      <c r="D180" s="634"/>
      <c r="E180" s="634">
        <f>'Lead Chart 24-25'!J63</f>
        <v>0</v>
      </c>
      <c r="F180" s="634">
        <f>SUM(G178:G179)</f>
        <v>115</v>
      </c>
      <c r="G180" s="634">
        <f>ROUND(F180*E180,2)</f>
        <v>0</v>
      </c>
    </row>
    <row r="181" spans="1:7" s="748" customFormat="1">
      <c r="A181" s="633"/>
      <c r="B181" s="701"/>
      <c r="C181" s="711" t="s">
        <v>19</v>
      </c>
      <c r="D181" s="635"/>
      <c r="E181" s="629"/>
      <c r="F181" s="629" t="s">
        <v>154</v>
      </c>
      <c r="G181" s="637">
        <f>ROUND(SUM(G175:G180),2)</f>
        <v>4341.9399999999996</v>
      </c>
    </row>
    <row r="182" spans="1:7" s="748" customFormat="1">
      <c r="A182" s="701"/>
      <c r="B182" s="701">
        <v>6</v>
      </c>
      <c r="C182" s="711" t="s">
        <v>52</v>
      </c>
      <c r="D182" s="635"/>
      <c r="E182" s="629"/>
      <c r="F182" s="629"/>
      <c r="G182" s="637"/>
    </row>
    <row r="183" spans="1:7" s="1105" customFormat="1" ht="24">
      <c r="A183" s="1101" t="s">
        <v>51</v>
      </c>
      <c r="B183" s="1101"/>
      <c r="C183" s="1102" t="s">
        <v>11</v>
      </c>
      <c r="D183" s="1103"/>
      <c r="E183" s="1104"/>
      <c r="F183" s="1104"/>
      <c r="G183" s="1104"/>
    </row>
    <row r="184" spans="1:7">
      <c r="A184" s="391"/>
      <c r="B184" s="701"/>
      <c r="C184" s="814" t="s">
        <v>12</v>
      </c>
      <c r="D184" s="634"/>
      <c r="E184" s="629"/>
      <c r="F184" s="629"/>
      <c r="G184" s="629"/>
    </row>
    <row r="185" spans="1:7">
      <c r="A185" s="391"/>
      <c r="B185" s="701"/>
      <c r="C185" s="628" t="s">
        <v>107</v>
      </c>
      <c r="D185" s="634" t="s">
        <v>13</v>
      </c>
      <c r="E185" s="629">
        <v>360</v>
      </c>
      <c r="F185" s="648">
        <f>'Lead Chart 24-25'!N43</f>
        <v>5000</v>
      </c>
      <c r="G185" s="629">
        <f>ROUND(E185*F185/1000,2)</f>
        <v>1800</v>
      </c>
    </row>
    <row r="186" spans="1:7">
      <c r="A186" s="391"/>
      <c r="B186" s="701"/>
      <c r="C186" s="628" t="s">
        <v>14</v>
      </c>
      <c r="D186" s="634" t="s">
        <v>290</v>
      </c>
      <c r="E186" s="629">
        <v>1.05</v>
      </c>
      <c r="F186" s="629">
        <f>F196</f>
        <v>1739.9439994719005</v>
      </c>
      <c r="G186" s="629">
        <f>ROUND(E186*F186,2)</f>
        <v>1826.94</v>
      </c>
    </row>
    <row r="187" spans="1:7">
      <c r="A187" s="391"/>
      <c r="B187" s="701"/>
      <c r="C187" s="814" t="s">
        <v>15</v>
      </c>
      <c r="D187" s="634"/>
      <c r="E187" s="629"/>
      <c r="F187" s="629"/>
      <c r="G187" s="629"/>
    </row>
    <row r="188" spans="1:7">
      <c r="A188" s="391"/>
      <c r="B188" s="701"/>
      <c r="C188" s="814" t="s">
        <v>16</v>
      </c>
      <c r="D188" s="634"/>
      <c r="E188" s="629"/>
      <c r="F188" s="629"/>
      <c r="G188" s="629"/>
    </row>
    <row r="189" spans="1:7">
      <c r="A189" s="391"/>
      <c r="B189" s="701"/>
      <c r="C189" s="628" t="s">
        <v>17</v>
      </c>
      <c r="D189" s="634" t="s">
        <v>18</v>
      </c>
      <c r="E189" s="629">
        <v>0.2</v>
      </c>
      <c r="F189" s="629">
        <f>'Lead Chart 24-25'!C63</f>
        <v>575</v>
      </c>
      <c r="G189" s="629">
        <f>ROUND(E189*F189,2)</f>
        <v>115</v>
      </c>
    </row>
    <row r="190" spans="1:7" s="739" customFormat="1">
      <c r="A190" s="391"/>
      <c r="B190" s="631"/>
      <c r="C190" s="815" t="s">
        <v>1048</v>
      </c>
      <c r="D190" s="634"/>
      <c r="E190" s="634">
        <f>'Lead Chart 24-25'!J63</f>
        <v>0</v>
      </c>
      <c r="F190" s="634">
        <f>SUM(G189)</f>
        <v>115</v>
      </c>
      <c r="G190" s="634">
        <f>ROUND(F190*E190,2)</f>
        <v>0</v>
      </c>
    </row>
    <row r="191" spans="1:7" s="748" customFormat="1">
      <c r="A191" s="633"/>
      <c r="B191" s="701"/>
      <c r="C191" s="711" t="s">
        <v>19</v>
      </c>
      <c r="D191" s="635"/>
      <c r="E191" s="629"/>
      <c r="F191" s="629" t="s">
        <v>154</v>
      </c>
      <c r="G191" s="637">
        <f>ROUND(SUM(G185:G190),2)</f>
        <v>3741.94</v>
      </c>
    </row>
    <row r="192" spans="1:7" s="748" customFormat="1" ht="22.5" customHeight="1">
      <c r="A192" s="701"/>
      <c r="B192" s="701">
        <v>7</v>
      </c>
      <c r="C192" s="711" t="s">
        <v>854</v>
      </c>
      <c r="D192" s="635"/>
      <c r="E192" s="629"/>
      <c r="F192" s="629"/>
      <c r="G192" s="637"/>
    </row>
    <row r="193" spans="1:7" s="1105" customFormat="1" ht="24">
      <c r="A193" s="1101" t="s">
        <v>53</v>
      </c>
      <c r="B193" s="1101"/>
      <c r="C193" s="1102" t="s">
        <v>11</v>
      </c>
      <c r="D193" s="1103"/>
      <c r="E193" s="1104"/>
      <c r="F193" s="1104"/>
      <c r="G193" s="1104"/>
    </row>
    <row r="194" spans="1:7">
      <c r="A194" s="391"/>
      <c r="B194" s="701"/>
      <c r="C194" s="628" t="s">
        <v>12</v>
      </c>
      <c r="D194" s="634"/>
      <c r="E194" s="629"/>
      <c r="F194" s="629"/>
      <c r="G194" s="629"/>
    </row>
    <row r="195" spans="1:7">
      <c r="A195" s="391"/>
      <c r="B195" s="701"/>
      <c r="C195" s="628" t="s">
        <v>107</v>
      </c>
      <c r="D195" s="634" t="s">
        <v>13</v>
      </c>
      <c r="E195" s="629">
        <v>240</v>
      </c>
      <c r="F195" s="648">
        <f>'Lead Chart 24-25'!N43</f>
        <v>5000</v>
      </c>
      <c r="G195" s="629">
        <f>ROUND(E195*F195/1000,2)</f>
        <v>1200</v>
      </c>
    </row>
    <row r="196" spans="1:7">
      <c r="A196" s="391"/>
      <c r="B196" s="701"/>
      <c r="C196" s="628" t="s">
        <v>14</v>
      </c>
      <c r="D196" s="634" t="s">
        <v>290</v>
      </c>
      <c r="E196" s="629">
        <v>1.05</v>
      </c>
      <c r="F196" s="629">
        <f>'Lead Chart 24-25'!N17</f>
        <v>1739.9439994719005</v>
      </c>
      <c r="G196" s="629">
        <f>ROUND(E196*F196,2)</f>
        <v>1826.94</v>
      </c>
    </row>
    <row r="197" spans="1:7">
      <c r="A197" s="391"/>
      <c r="B197" s="701"/>
      <c r="C197" s="628" t="s">
        <v>15</v>
      </c>
      <c r="D197" s="634"/>
      <c r="E197" s="629"/>
      <c r="F197" s="629"/>
      <c r="G197" s="629"/>
    </row>
    <row r="198" spans="1:7">
      <c r="A198" s="391"/>
      <c r="B198" s="701"/>
      <c r="C198" s="628" t="s">
        <v>16</v>
      </c>
      <c r="D198" s="634"/>
      <c r="E198" s="629"/>
      <c r="F198" s="629"/>
      <c r="G198" s="629"/>
    </row>
    <row r="199" spans="1:7">
      <c r="A199" s="391"/>
      <c r="B199" s="701"/>
      <c r="C199" s="628" t="s">
        <v>17</v>
      </c>
      <c r="D199" s="634" t="s">
        <v>18</v>
      </c>
      <c r="E199" s="629">
        <v>0.2</v>
      </c>
      <c r="F199" s="629">
        <f>'Lead Chart 24-25'!C63</f>
        <v>575</v>
      </c>
      <c r="G199" s="629">
        <f>ROUND(E199*F199,2)</f>
        <v>115</v>
      </c>
    </row>
    <row r="200" spans="1:7" s="739" customFormat="1">
      <c r="A200" s="391"/>
      <c r="B200" s="631"/>
      <c r="C200" s="815" t="s">
        <v>1048</v>
      </c>
      <c r="D200" s="634"/>
      <c r="E200" s="634">
        <f>'Lead Chart 24-25'!J63</f>
        <v>0</v>
      </c>
      <c r="F200" s="634">
        <f>SUM(G198:G199)</f>
        <v>115</v>
      </c>
      <c r="G200" s="634">
        <f>ROUND(F200*E200,2)</f>
        <v>0</v>
      </c>
    </row>
    <row r="201" spans="1:7" s="748" customFormat="1">
      <c r="A201" s="633"/>
      <c r="B201" s="701"/>
      <c r="C201" s="711" t="s">
        <v>19</v>
      </c>
      <c r="D201" s="635"/>
      <c r="E201" s="629"/>
      <c r="F201" s="629" t="s">
        <v>154</v>
      </c>
      <c r="G201" s="637">
        <f>ROUND(SUM(G195:G200),2)</f>
        <v>3141.94</v>
      </c>
    </row>
    <row r="202" spans="1:7" s="748" customFormat="1">
      <c r="A202" s="701"/>
      <c r="B202" s="701">
        <v>8</v>
      </c>
      <c r="C202" s="711" t="s">
        <v>83</v>
      </c>
      <c r="D202" s="635"/>
      <c r="E202" s="629"/>
      <c r="F202" s="629"/>
      <c r="G202" s="637"/>
    </row>
    <row r="203" spans="1:7" s="1105" customFormat="1" ht="18.75" customHeight="1">
      <c r="A203" s="1101" t="s">
        <v>82</v>
      </c>
      <c r="B203" s="1101"/>
      <c r="C203" s="1102" t="s">
        <v>11</v>
      </c>
      <c r="D203" s="1103"/>
      <c r="E203" s="1104"/>
      <c r="F203" s="1104"/>
      <c r="G203" s="1104"/>
    </row>
    <row r="204" spans="1:7">
      <c r="A204" s="391"/>
      <c r="B204" s="701"/>
      <c r="C204" s="628" t="s">
        <v>12</v>
      </c>
      <c r="D204" s="634"/>
      <c r="E204" s="629"/>
      <c r="F204" s="629"/>
      <c r="G204" s="629"/>
    </row>
    <row r="205" spans="1:7">
      <c r="A205" s="391"/>
      <c r="B205" s="701"/>
      <c r="C205" s="628" t="s">
        <v>107</v>
      </c>
      <c r="D205" s="634" t="s">
        <v>13</v>
      </c>
      <c r="E205" s="629">
        <v>180</v>
      </c>
      <c r="F205" s="629">
        <f>'Lead 20-21'!N41</f>
        <v>5000</v>
      </c>
      <c r="G205" s="629">
        <f>ROUND(E205*F205/1000,2)</f>
        <v>900</v>
      </c>
    </row>
    <row r="206" spans="1:7">
      <c r="A206" s="391"/>
      <c r="B206" s="701"/>
      <c r="C206" s="628" t="s">
        <v>14</v>
      </c>
      <c r="D206" s="634" t="s">
        <v>290</v>
      </c>
      <c r="E206" s="629">
        <v>1.05</v>
      </c>
      <c r="F206" s="629">
        <f>F196</f>
        <v>1739.9439994719005</v>
      </c>
      <c r="G206" s="629">
        <f>ROUND(E206*F206,2)</f>
        <v>1826.94</v>
      </c>
    </row>
    <row r="207" spans="1:7">
      <c r="A207" s="391"/>
      <c r="B207" s="701"/>
      <c r="C207" s="628" t="s">
        <v>15</v>
      </c>
      <c r="D207" s="634"/>
      <c r="E207" s="629"/>
      <c r="F207" s="629"/>
      <c r="G207" s="629"/>
    </row>
    <row r="208" spans="1:7">
      <c r="A208" s="391"/>
      <c r="B208" s="701"/>
      <c r="C208" s="628" t="s">
        <v>16</v>
      </c>
      <c r="D208" s="634"/>
      <c r="E208" s="629"/>
      <c r="F208" s="629"/>
      <c r="G208" s="629"/>
    </row>
    <row r="209" spans="1:7">
      <c r="A209" s="391"/>
      <c r="B209" s="701"/>
      <c r="C209" s="628" t="s">
        <v>17</v>
      </c>
      <c r="D209" s="634" t="s">
        <v>18</v>
      </c>
      <c r="E209" s="629">
        <v>0.2</v>
      </c>
      <c r="F209" s="629">
        <f>F199</f>
        <v>575</v>
      </c>
      <c r="G209" s="629">
        <f>ROUND(E209*F209,2)</f>
        <v>115</v>
      </c>
    </row>
    <row r="210" spans="1:7" s="739" customFormat="1">
      <c r="A210" s="391"/>
      <c r="B210" s="631"/>
      <c r="C210" s="815" t="s">
        <v>1048</v>
      </c>
      <c r="D210" s="634"/>
      <c r="E210" s="634">
        <v>0.25</v>
      </c>
      <c r="F210" s="634">
        <f>SUM(G208:G209)</f>
        <v>115</v>
      </c>
      <c r="G210" s="634">
        <f>ROUND(F210*E210,2)</f>
        <v>28.75</v>
      </c>
    </row>
    <row r="211" spans="1:7" s="748" customFormat="1">
      <c r="A211" s="633"/>
      <c r="B211" s="701"/>
      <c r="C211" s="711" t="s">
        <v>19</v>
      </c>
      <c r="D211" s="635"/>
      <c r="E211" s="629"/>
      <c r="F211" s="629" t="s">
        <v>154</v>
      </c>
      <c r="G211" s="637">
        <f>ROUND(SUM(G205:G210),2)</f>
        <v>2870.69</v>
      </c>
    </row>
    <row r="212" spans="1:7" s="1401" customFormat="1" ht="33.75" customHeight="1">
      <c r="A212" s="1396" t="s">
        <v>271</v>
      </c>
      <c r="B212" s="1397">
        <v>9</v>
      </c>
      <c r="C212" s="1398" t="s">
        <v>946</v>
      </c>
      <c r="D212" s="1399"/>
      <c r="E212" s="1400"/>
      <c r="F212" s="1400"/>
      <c r="G212" s="1400"/>
    </row>
    <row r="213" spans="1:7" s="1402" customFormat="1" ht="12">
      <c r="B213" s="1396"/>
      <c r="C213" s="1403" t="s">
        <v>90</v>
      </c>
      <c r="D213" s="1404"/>
      <c r="E213" s="1405"/>
      <c r="F213" s="1405"/>
      <c r="G213" s="1405"/>
    </row>
    <row r="214" spans="1:7" s="1401" customFormat="1" ht="16.5" customHeight="1">
      <c r="A214" s="1406"/>
      <c r="B214" s="1397"/>
      <c r="C214" s="1407" t="s">
        <v>12</v>
      </c>
      <c r="D214" s="1399"/>
      <c r="E214" s="1400"/>
      <c r="F214" s="1400"/>
      <c r="G214" s="1400"/>
    </row>
    <row r="215" spans="1:7" s="1401" customFormat="1" ht="16.5" customHeight="1">
      <c r="A215" s="1406"/>
      <c r="B215" s="1397"/>
      <c r="C215" s="1407" t="s">
        <v>107</v>
      </c>
      <c r="D215" s="1399" t="s">
        <v>91</v>
      </c>
      <c r="E215" s="1400">
        <v>162</v>
      </c>
      <c r="F215" s="1408">
        <f>'Lead Chart 24-25'!N43</f>
        <v>5000</v>
      </c>
      <c r="G215" s="1400">
        <f>ROUND(E215*F215/1000,2)</f>
        <v>810</v>
      </c>
    </row>
    <row r="216" spans="1:7" s="1401" customFormat="1" ht="16.5" customHeight="1">
      <c r="A216" s="1406"/>
      <c r="B216" s="1397"/>
      <c r="C216" s="1407" t="s">
        <v>93</v>
      </c>
      <c r="D216" s="1399" t="s">
        <v>290</v>
      </c>
      <c r="E216" s="1400">
        <v>0.9</v>
      </c>
      <c r="F216" s="1400">
        <f>'Lead Chart 24-25'!N35</f>
        <v>1706.5179333714736</v>
      </c>
      <c r="G216" s="1400">
        <f>ROUND(E216*F216,2)</f>
        <v>1535.87</v>
      </c>
    </row>
    <row r="217" spans="1:7" s="1401" customFormat="1" ht="16.5" customHeight="1">
      <c r="A217" s="1406"/>
      <c r="B217" s="1397"/>
      <c r="C217" s="1407" t="s">
        <v>409</v>
      </c>
      <c r="D217" s="1399" t="s">
        <v>290</v>
      </c>
      <c r="E217" s="1399">
        <v>0.45</v>
      </c>
      <c r="F217" s="1409">
        <f>'Lead Chart 24-25'!N16</f>
        <v>1629.9439994719005</v>
      </c>
      <c r="G217" s="1399">
        <f>ROUND(E217*F217,2)</f>
        <v>733.47</v>
      </c>
    </row>
    <row r="218" spans="1:7" s="1401" customFormat="1" ht="16.5" customHeight="1">
      <c r="A218" s="1406"/>
      <c r="B218" s="1397"/>
      <c r="C218" s="1407" t="s">
        <v>127</v>
      </c>
      <c r="D218" s="1399" t="s">
        <v>4</v>
      </c>
      <c r="E218" s="1399">
        <v>1.2</v>
      </c>
      <c r="F218" s="1423">
        <v>81</v>
      </c>
      <c r="G218" s="1399">
        <f>ROUND(E218*F218,2)</f>
        <v>97.2</v>
      </c>
    </row>
    <row r="219" spans="1:7" s="1401" customFormat="1" ht="16.5" customHeight="1">
      <c r="A219" s="1406"/>
      <c r="B219" s="1397"/>
      <c r="C219" s="1407" t="s">
        <v>88</v>
      </c>
      <c r="D219" s="1399" t="s">
        <v>89</v>
      </c>
      <c r="E219" s="1400">
        <v>1</v>
      </c>
      <c r="F219" s="1408">
        <f>'Lead Chart 24-25'!C77</f>
        <v>697.9</v>
      </c>
      <c r="G219" s="1400">
        <f>ROUND(E219*F219,2)</f>
        <v>697.9</v>
      </c>
    </row>
    <row r="220" spans="1:7" s="1401" customFormat="1" ht="16.5" customHeight="1">
      <c r="A220" s="1406"/>
      <c r="B220" s="1397"/>
      <c r="C220" s="1407" t="s">
        <v>16</v>
      </c>
      <c r="D220" s="1399"/>
      <c r="E220" s="1400"/>
      <c r="F220" s="1400"/>
      <c r="G220" s="1400"/>
    </row>
    <row r="221" spans="1:7" s="1401" customFormat="1" ht="16.5" customHeight="1">
      <c r="A221" s="1406"/>
      <c r="B221" s="1397"/>
      <c r="C221" s="1407" t="s">
        <v>947</v>
      </c>
      <c r="D221" s="1399" t="s">
        <v>18</v>
      </c>
      <c r="E221" s="1400">
        <v>0.1</v>
      </c>
      <c r="F221" s="1400">
        <f>'Lead Chart 24-25'!C64</f>
        <v>645</v>
      </c>
      <c r="G221" s="1400">
        <f>ROUND(E221*F221,2)</f>
        <v>64.5</v>
      </c>
    </row>
    <row r="222" spans="1:7" s="1401" customFormat="1" ht="16.5" customHeight="1">
      <c r="A222" s="1406"/>
      <c r="B222" s="1397"/>
      <c r="C222" s="1407" t="s">
        <v>87</v>
      </c>
      <c r="D222" s="1399" t="s">
        <v>18</v>
      </c>
      <c r="E222" s="1400">
        <v>1.39</v>
      </c>
      <c r="F222" s="1400">
        <f>'Lead Chart 24-25'!C63</f>
        <v>575</v>
      </c>
      <c r="G222" s="1400">
        <f>ROUND(E222*F222,2)</f>
        <v>799.25</v>
      </c>
    </row>
    <row r="223" spans="1:7" s="1401" customFormat="1" ht="16.5" customHeight="1">
      <c r="A223" s="1406"/>
      <c r="B223" s="1397"/>
      <c r="C223" s="1407" t="s">
        <v>851</v>
      </c>
      <c r="D223" s="1399"/>
      <c r="E223" s="1422">
        <f>'Lead Chart 24-25'!J64</f>
        <v>0.13614999999999999</v>
      </c>
      <c r="F223" s="1400">
        <f>SUM(G215:G222)</f>
        <v>4738.1900000000005</v>
      </c>
      <c r="G223" s="1400">
        <f>ROUND(E223*F223,2)</f>
        <v>645.1</v>
      </c>
    </row>
    <row r="224" spans="1:7" s="1411" customFormat="1" ht="16.5" customHeight="1">
      <c r="A224" s="1406"/>
      <c r="B224" s="1410"/>
      <c r="C224" s="1407" t="s">
        <v>1048</v>
      </c>
      <c r="D224" s="1399"/>
      <c r="E224" s="1399">
        <f>'Lead Chart 24-25'!J63</f>
        <v>0</v>
      </c>
      <c r="F224" s="1399">
        <f>SUM(G221:G222)</f>
        <v>863.75</v>
      </c>
      <c r="G224" s="1399">
        <f>ROUND(F224*E224,2)</f>
        <v>0</v>
      </c>
    </row>
    <row r="225" spans="1:7" s="1411" customFormat="1" ht="16.5" customHeight="1">
      <c r="A225" s="1406"/>
      <c r="B225" s="1410"/>
      <c r="C225" s="1407" t="s">
        <v>638</v>
      </c>
      <c r="D225" s="1399" t="s">
        <v>89</v>
      </c>
      <c r="E225" s="1399">
        <f>E219</f>
        <v>1</v>
      </c>
      <c r="F225" s="1399">
        <f>'Lead Chart 24-25'!C78*'Lead Chart 24-25'!J63</f>
        <v>0</v>
      </c>
      <c r="G225" s="1399">
        <f>ROUND(F225*E225,2)</f>
        <v>0</v>
      </c>
    </row>
    <row r="226" spans="1:7" s="1415" customFormat="1" ht="12" customHeight="1">
      <c r="A226" s="1412"/>
      <c r="B226" s="1397"/>
      <c r="C226" s="1398" t="s">
        <v>118</v>
      </c>
      <c r="D226" s="1413"/>
      <c r="E226" s="1400"/>
      <c r="F226" s="1400" t="s">
        <v>154</v>
      </c>
      <c r="G226" s="1414">
        <f>SUM(G215:G225)</f>
        <v>5383.2900000000009</v>
      </c>
    </row>
    <row r="227" spans="1:7" s="1401" customFormat="1" ht="30" customHeight="1">
      <c r="A227" s="1396" t="s">
        <v>272</v>
      </c>
      <c r="B227" s="1397">
        <v>10</v>
      </c>
      <c r="C227" s="1398" t="s">
        <v>948</v>
      </c>
      <c r="D227" s="1399"/>
      <c r="E227" s="1400"/>
      <c r="F227" s="1400"/>
      <c r="G227" s="1400"/>
    </row>
    <row r="228" spans="1:7" s="1105" customFormat="1" ht="12">
      <c r="B228" s="1101"/>
      <c r="C228" s="1102" t="s">
        <v>90</v>
      </c>
      <c r="D228" s="1103"/>
      <c r="E228" s="1104"/>
      <c r="F228" s="1104"/>
      <c r="G228" s="1104"/>
    </row>
    <row r="229" spans="1:7">
      <c r="A229" s="391"/>
      <c r="B229" s="701"/>
      <c r="C229" s="814" t="s">
        <v>12</v>
      </c>
      <c r="D229" s="634"/>
      <c r="E229" s="629"/>
      <c r="F229" s="629"/>
      <c r="G229" s="629"/>
    </row>
    <row r="230" spans="1:7">
      <c r="A230" s="391"/>
      <c r="B230" s="701"/>
      <c r="C230" s="628" t="s">
        <v>107</v>
      </c>
      <c r="D230" s="634" t="s">
        <v>91</v>
      </c>
      <c r="E230" s="629">
        <v>129.6</v>
      </c>
      <c r="F230" s="629">
        <f>'Lead 20-21'!N41</f>
        <v>5000</v>
      </c>
      <c r="G230" s="629">
        <f>ROUND(E230*F230/1000,2)</f>
        <v>648</v>
      </c>
    </row>
    <row r="231" spans="1:7">
      <c r="A231" s="391"/>
      <c r="B231" s="701"/>
      <c r="C231" s="628" t="s">
        <v>93</v>
      </c>
      <c r="D231" s="634" t="s">
        <v>290</v>
      </c>
      <c r="E231" s="629">
        <v>0.9</v>
      </c>
      <c r="F231" s="629">
        <f>'Lead Chart 24-25'!N35</f>
        <v>1706.5179333714736</v>
      </c>
      <c r="G231" s="629">
        <f>ROUND(E231*F231,2)</f>
        <v>1535.87</v>
      </c>
    </row>
    <row r="232" spans="1:7">
      <c r="A232" s="391"/>
      <c r="B232" s="701"/>
      <c r="C232" s="628" t="s">
        <v>409</v>
      </c>
      <c r="D232" s="634" t="s">
        <v>290</v>
      </c>
      <c r="E232" s="629">
        <v>0.45</v>
      </c>
      <c r="F232" s="629">
        <f>'Lead Chart 24-25'!N16</f>
        <v>1629.9439994719005</v>
      </c>
      <c r="G232" s="629">
        <f>ROUND(E232*F232,2)</f>
        <v>733.47</v>
      </c>
    </row>
    <row r="233" spans="1:7">
      <c r="A233" s="391"/>
      <c r="B233" s="701"/>
      <c r="C233" s="628" t="s">
        <v>3</v>
      </c>
      <c r="D233" s="634" t="s">
        <v>4</v>
      </c>
      <c r="E233" s="629">
        <v>1.2</v>
      </c>
      <c r="F233" s="1424">
        <f>F218</f>
        <v>81</v>
      </c>
      <c r="G233" s="629">
        <f>ROUND(E233*F233,2)</f>
        <v>97.2</v>
      </c>
    </row>
    <row r="234" spans="1:7">
      <c r="A234" s="391"/>
      <c r="B234" s="701"/>
      <c r="C234" s="814" t="s">
        <v>15</v>
      </c>
      <c r="D234" s="634"/>
      <c r="E234" s="629"/>
      <c r="F234" s="629"/>
      <c r="G234" s="629"/>
    </row>
    <row r="235" spans="1:7">
      <c r="A235" s="391"/>
      <c r="B235" s="701"/>
      <c r="C235" s="628" t="s">
        <v>88</v>
      </c>
      <c r="D235" s="634" t="s">
        <v>89</v>
      </c>
      <c r="E235" s="629">
        <v>1</v>
      </c>
      <c r="F235" s="1424">
        <f>F219</f>
        <v>697.9</v>
      </c>
      <c r="G235" s="629">
        <f>ROUND(E235*F235,2)</f>
        <v>697.9</v>
      </c>
    </row>
    <row r="236" spans="1:7">
      <c r="A236" s="391"/>
      <c r="B236" s="701"/>
      <c r="C236" s="814" t="s">
        <v>16</v>
      </c>
      <c r="D236" s="634"/>
      <c r="E236" s="629"/>
      <c r="F236" s="629"/>
      <c r="G236" s="629"/>
    </row>
    <row r="237" spans="1:7" ht="18.75">
      <c r="A237" s="391"/>
      <c r="B237" s="701"/>
      <c r="C237" s="628" t="s">
        <v>947</v>
      </c>
      <c r="D237" s="634" t="s">
        <v>18</v>
      </c>
      <c r="E237" s="629">
        <v>0.1</v>
      </c>
      <c r="F237" s="629">
        <f>'Lead Chart 24-25'!C64</f>
        <v>645</v>
      </c>
      <c r="G237" s="629">
        <f>ROUND(E237*F237,2)</f>
        <v>64.5</v>
      </c>
    </row>
    <row r="238" spans="1:7">
      <c r="A238" s="391"/>
      <c r="B238" s="701"/>
      <c r="C238" s="628" t="s">
        <v>87</v>
      </c>
      <c r="D238" s="634" t="s">
        <v>18</v>
      </c>
      <c r="E238" s="629">
        <v>1.39</v>
      </c>
      <c r="F238" s="629">
        <f>'Lead Chart 24-25'!C63</f>
        <v>575</v>
      </c>
      <c r="G238" s="629">
        <f>ROUND(E238*F238,2)</f>
        <v>799.25</v>
      </c>
    </row>
    <row r="239" spans="1:7" s="739" customFormat="1">
      <c r="A239" s="391"/>
      <c r="B239" s="631"/>
      <c r="C239" s="628" t="s">
        <v>315</v>
      </c>
      <c r="D239" s="634"/>
      <c r="E239" s="634">
        <v>0.2</v>
      </c>
      <c r="F239" s="634">
        <f>SUM(G237:G238)</f>
        <v>863.75</v>
      </c>
      <c r="G239" s="634"/>
    </row>
    <row r="240" spans="1:7" s="739" customFormat="1">
      <c r="A240" s="391"/>
      <c r="B240" s="631"/>
      <c r="C240" s="628" t="s">
        <v>638</v>
      </c>
      <c r="D240" s="634" t="s">
        <v>89</v>
      </c>
      <c r="E240" s="634">
        <v>0</v>
      </c>
      <c r="F240" s="634">
        <v>113.88</v>
      </c>
      <c r="G240" s="1424">
        <f>ROUND(E240*F240,2)</f>
        <v>0</v>
      </c>
    </row>
    <row r="241" spans="1:7">
      <c r="A241" s="633"/>
      <c r="B241" s="701"/>
      <c r="C241" s="628" t="s">
        <v>19</v>
      </c>
      <c r="D241" s="634"/>
      <c r="E241" s="629"/>
      <c r="F241" s="629"/>
      <c r="G241" s="637">
        <f>ROUND(SUM(G230:G240),2)</f>
        <v>4576.1899999999996</v>
      </c>
    </row>
    <row r="242" spans="1:7" s="740" customFormat="1" ht="18" customHeight="1">
      <c r="A242" s="391"/>
      <c r="B242" s="631"/>
      <c r="C242" s="711" t="s">
        <v>398</v>
      </c>
      <c r="D242" s="394"/>
      <c r="E242" s="647">
        <f>G241-G240</f>
        <v>4576.1899999999996</v>
      </c>
      <c r="F242" s="736">
        <f>'Lead 20-21'!J50</f>
        <v>0.13614999999999999</v>
      </c>
      <c r="G242" s="813">
        <f>ROUND(F242*E242,2)</f>
        <v>623.04999999999995</v>
      </c>
    </row>
    <row r="243" spans="1:7" s="740" customFormat="1">
      <c r="A243" s="631"/>
      <c r="B243" s="631"/>
      <c r="C243" s="711" t="s">
        <v>118</v>
      </c>
      <c r="D243" s="635"/>
      <c r="E243" s="629"/>
      <c r="F243" s="629" t="s">
        <v>154</v>
      </c>
      <c r="G243" s="637">
        <f>SUM(G241:G242)</f>
        <v>5199.24</v>
      </c>
    </row>
    <row r="244" spans="1:7">
      <c r="A244" s="631"/>
      <c r="B244" s="701">
        <v>11</v>
      </c>
      <c r="C244" s="1331" t="s">
        <v>69</v>
      </c>
      <c r="D244" s="634"/>
      <c r="E244" s="629"/>
      <c r="F244" s="629"/>
      <c r="G244" s="629"/>
    </row>
    <row r="245" spans="1:7" s="1105" customFormat="1" ht="24">
      <c r="A245" s="1106" t="s">
        <v>68</v>
      </c>
      <c r="B245" s="1101"/>
      <c r="C245" s="1107" t="s">
        <v>90</v>
      </c>
      <c r="D245" s="1108"/>
      <c r="E245" s="1104"/>
      <c r="F245" s="1104"/>
      <c r="G245" s="1108"/>
    </row>
    <row r="246" spans="1:7">
      <c r="A246" s="624"/>
      <c r="B246" s="701"/>
      <c r="C246" s="644" t="s">
        <v>70</v>
      </c>
      <c r="D246" s="645"/>
      <c r="E246" s="629"/>
      <c r="F246" s="629"/>
      <c r="G246" s="645"/>
    </row>
    <row r="247" spans="1:7" ht="13.5" customHeight="1">
      <c r="A247" s="624"/>
      <c r="B247" s="701"/>
      <c r="C247" s="709" t="s">
        <v>107</v>
      </c>
      <c r="D247" s="645" t="s">
        <v>91</v>
      </c>
      <c r="E247" s="629">
        <v>275</v>
      </c>
      <c r="F247" s="648">
        <f>'Lead Chart 24-25'!N43</f>
        <v>5000</v>
      </c>
      <c r="G247" s="648">
        <f>ROUND(E247*F247/1000,2)</f>
        <v>1375</v>
      </c>
    </row>
    <row r="248" spans="1:7" ht="13.5" customHeight="1">
      <c r="A248" s="624"/>
      <c r="B248" s="701"/>
      <c r="C248" s="709" t="s">
        <v>410</v>
      </c>
      <c r="D248" s="645" t="s">
        <v>91</v>
      </c>
      <c r="E248" s="629">
        <v>0.48</v>
      </c>
      <c r="F248" s="629">
        <f>'Lead Chart 24-25'!N16</f>
        <v>1629.9439994719005</v>
      </c>
      <c r="G248" s="629">
        <f>ROUND(E248*F248,2)</f>
        <v>782.37</v>
      </c>
    </row>
    <row r="249" spans="1:7" ht="13.5" customHeight="1">
      <c r="A249" s="624"/>
      <c r="B249" s="701"/>
      <c r="C249" s="709" t="s">
        <v>71</v>
      </c>
      <c r="D249" s="645" t="s">
        <v>91</v>
      </c>
      <c r="E249" s="629">
        <v>0.54</v>
      </c>
      <c r="F249" s="629">
        <f>'Lead Chart 24-25'!N35</f>
        <v>1706.5179333714736</v>
      </c>
      <c r="G249" s="629">
        <f>ROUND(E249*F249,2)</f>
        <v>921.52</v>
      </c>
    </row>
    <row r="250" spans="1:7" ht="13.5" customHeight="1">
      <c r="A250" s="624"/>
      <c r="B250" s="701"/>
      <c r="C250" s="709" t="s">
        <v>72</v>
      </c>
      <c r="D250" s="645" t="s">
        <v>91</v>
      </c>
      <c r="E250" s="629">
        <v>0.27</v>
      </c>
      <c r="F250" s="629">
        <f>'Lead Chart 24-25'!N33</f>
        <v>2005.5179333714736</v>
      </c>
      <c r="G250" s="629">
        <f>ROUND(E250*F250,2)</f>
        <v>541.49</v>
      </c>
    </row>
    <row r="251" spans="1:7" ht="13.5" customHeight="1">
      <c r="A251" s="624"/>
      <c r="B251" s="701"/>
      <c r="C251" s="709" t="s">
        <v>73</v>
      </c>
      <c r="D251" s="645" t="s">
        <v>91</v>
      </c>
      <c r="E251" s="629">
        <v>0.09</v>
      </c>
      <c r="F251" s="629">
        <f>'Lead Chart 24-25'!N36</f>
        <v>1754.5179333714736</v>
      </c>
      <c r="G251" s="629">
        <f>ROUND(E251*F251,2)</f>
        <v>157.91</v>
      </c>
    </row>
    <row r="252" spans="1:7" ht="13.5" customHeight="1">
      <c r="A252" s="624"/>
      <c r="B252" s="701"/>
      <c r="C252" s="709" t="s">
        <v>402</v>
      </c>
      <c r="D252" s="645" t="s">
        <v>91</v>
      </c>
      <c r="E252" s="629">
        <v>1.2</v>
      </c>
      <c r="F252" s="1425">
        <f>F218</f>
        <v>81</v>
      </c>
      <c r="G252" s="648">
        <f>ROUND(E252*F252,2)</f>
        <v>97.2</v>
      </c>
    </row>
    <row r="253" spans="1:7" ht="13.5" customHeight="1">
      <c r="A253" s="624"/>
      <c r="B253" s="701"/>
      <c r="C253" s="644" t="s">
        <v>74</v>
      </c>
      <c r="D253" s="645"/>
      <c r="E253" s="629"/>
      <c r="F253" s="629"/>
      <c r="G253" s="645"/>
    </row>
    <row r="254" spans="1:7" ht="13.5" customHeight="1">
      <c r="A254" s="624"/>
      <c r="B254" s="701"/>
      <c r="C254" s="709" t="s">
        <v>75</v>
      </c>
      <c r="D254" s="645" t="s">
        <v>18</v>
      </c>
      <c r="E254" s="629">
        <v>0.1</v>
      </c>
      <c r="F254" s="629">
        <f>'Lead Chart 24-25'!C64</f>
        <v>645</v>
      </c>
      <c r="G254" s="629">
        <f>ROUND(E254*F254,2)</f>
        <v>64.5</v>
      </c>
    </row>
    <row r="255" spans="1:7" ht="13.5" customHeight="1">
      <c r="A255" s="624"/>
      <c r="B255" s="701"/>
      <c r="C255" s="709" t="s">
        <v>92</v>
      </c>
      <c r="D255" s="645" t="s">
        <v>18</v>
      </c>
      <c r="E255" s="629">
        <v>2.36</v>
      </c>
      <c r="F255" s="629">
        <f>'Lead Chart 24-25'!C63</f>
        <v>575</v>
      </c>
      <c r="G255" s="629">
        <f>ROUND(E255*F255,2)</f>
        <v>1357</v>
      </c>
    </row>
    <row r="256" spans="1:7" s="1431" customFormat="1" ht="20.25" customHeight="1">
      <c r="A256" s="1426"/>
      <c r="B256" s="1427"/>
      <c r="C256" s="1428" t="s">
        <v>855</v>
      </c>
      <c r="D256" s="1429"/>
      <c r="E256" s="1430">
        <f>'Lead 20-21'!J50</f>
        <v>0.13614999999999999</v>
      </c>
      <c r="F256" s="1424">
        <f>SUM(G247:G255)</f>
        <v>5296.99</v>
      </c>
      <c r="G256" s="1424">
        <f>ROUND(E256*F256,2)</f>
        <v>721.19</v>
      </c>
    </row>
    <row r="257" spans="1:10" s="739" customFormat="1" ht="13.5" customHeight="1">
      <c r="A257" s="624"/>
      <c r="B257" s="631"/>
      <c r="C257" s="628" t="s">
        <v>315</v>
      </c>
      <c r="D257" s="634"/>
      <c r="E257" s="634">
        <f>'Lead Chart 24-25'!J63</f>
        <v>0</v>
      </c>
      <c r="F257" s="634">
        <f>SUM(G254:G255)</f>
        <v>1421.5</v>
      </c>
      <c r="G257" s="634">
        <f>ROUND(F257*E257,2)</f>
        <v>0</v>
      </c>
    </row>
    <row r="258" spans="1:10" s="748" customFormat="1" ht="13.5" customHeight="1">
      <c r="A258" s="633"/>
      <c r="B258" s="701"/>
      <c r="C258" s="644" t="s">
        <v>19</v>
      </c>
      <c r="D258" s="643"/>
      <c r="E258" s="629"/>
      <c r="F258" s="629" t="s">
        <v>154</v>
      </c>
      <c r="G258" s="643">
        <f>ROUND(SUM(G247:G257),2)</f>
        <v>6018.18</v>
      </c>
    </row>
    <row r="259" spans="1:10" s="748" customFormat="1">
      <c r="A259" s="633"/>
      <c r="B259" s="701"/>
      <c r="C259" s="644"/>
      <c r="D259" s="643"/>
      <c r="E259" s="629"/>
      <c r="F259" s="629"/>
      <c r="G259" s="643"/>
    </row>
    <row r="260" spans="1:10" ht="75" hidden="1" customHeight="1">
      <c r="A260" s="702"/>
      <c r="B260" s="701">
        <v>12</v>
      </c>
      <c r="C260" s="1647" t="s">
        <v>949</v>
      </c>
      <c r="D260" s="1647"/>
      <c r="E260" s="1647"/>
      <c r="F260" s="1647"/>
      <c r="G260" s="1647"/>
    </row>
    <row r="261" spans="1:10" ht="47.25" hidden="1">
      <c r="A261" s="841" t="s">
        <v>1075</v>
      </c>
      <c r="B261" s="701"/>
      <c r="C261" s="644" t="s">
        <v>277</v>
      </c>
      <c r="D261" s="645"/>
      <c r="E261" s="629"/>
      <c r="F261" s="629"/>
      <c r="G261" s="645"/>
    </row>
    <row r="262" spans="1:10" hidden="1">
      <c r="A262" s="624"/>
      <c r="B262" s="701"/>
      <c r="C262" s="709" t="s">
        <v>32</v>
      </c>
      <c r="D262" s="645"/>
      <c r="E262" s="629"/>
      <c r="F262" s="629"/>
      <c r="G262" s="645"/>
    </row>
    <row r="263" spans="1:10" hidden="1">
      <c r="A263" s="624"/>
      <c r="B263" s="701"/>
      <c r="C263" s="644" t="s">
        <v>12</v>
      </c>
      <c r="D263" s="645"/>
      <c r="E263" s="629"/>
      <c r="F263" s="629"/>
      <c r="G263" s="645"/>
    </row>
    <row r="264" spans="1:10" hidden="1">
      <c r="A264" s="624"/>
      <c r="B264" s="620"/>
      <c r="C264" s="709" t="s">
        <v>393</v>
      </c>
      <c r="D264" s="645" t="s">
        <v>122</v>
      </c>
      <c r="E264" s="629">
        <v>672</v>
      </c>
      <c r="F264" s="629">
        <f>'Lead Chart 24-25'!N46</f>
        <v>10089.204752893545</v>
      </c>
      <c r="G264" s="645">
        <f>ROUND(F264*E264/1000,2)</f>
        <v>6779.95</v>
      </c>
    </row>
    <row r="265" spans="1:10" ht="31.5" hidden="1">
      <c r="A265" s="701" t="s">
        <v>281</v>
      </c>
      <c r="B265" s="701"/>
      <c r="C265" s="709" t="s">
        <v>278</v>
      </c>
      <c r="D265" s="645" t="s">
        <v>290</v>
      </c>
      <c r="E265" s="629">
        <v>0.1</v>
      </c>
      <c r="F265" s="648">
        <f>G201</f>
        <v>3141.94</v>
      </c>
      <c r="G265" s="645">
        <f>ROUND(F265*E265,2)</f>
        <v>314.19</v>
      </c>
      <c r="J265" s="737">
        <f>110*290*225*140</f>
        <v>1004850000</v>
      </c>
    </row>
    <row r="266" spans="1:10" hidden="1">
      <c r="A266" s="624"/>
      <c r="B266" s="701"/>
      <c r="C266" s="644" t="s">
        <v>120</v>
      </c>
      <c r="D266" s="645"/>
      <c r="E266" s="629"/>
      <c r="F266" s="629"/>
      <c r="G266" s="645"/>
    </row>
    <row r="267" spans="1:10" hidden="1">
      <c r="A267" s="624"/>
      <c r="B267" s="701"/>
      <c r="C267" s="709" t="s">
        <v>279</v>
      </c>
      <c r="D267" s="645" t="s">
        <v>18</v>
      </c>
      <c r="E267" s="629">
        <v>0.42</v>
      </c>
      <c r="F267" s="629">
        <f>'Lead Chart 24-25'!C64</f>
        <v>645</v>
      </c>
      <c r="G267" s="645">
        <f t="shared" ref="G267:G272" si="4">ROUND(F267*E267,2)</f>
        <v>270.89999999999998</v>
      </c>
      <c r="J267" s="737">
        <f>225*100*60</f>
        <v>1350000</v>
      </c>
    </row>
    <row r="268" spans="1:10" hidden="1">
      <c r="A268" s="624"/>
      <c r="B268" s="701"/>
      <c r="C268" s="709" t="s">
        <v>121</v>
      </c>
      <c r="D268" s="645" t="s">
        <v>18</v>
      </c>
      <c r="E268" s="629">
        <v>0.92</v>
      </c>
      <c r="F268" s="629">
        <f>'Lead Chart 24-25'!C65</f>
        <v>615</v>
      </c>
      <c r="G268" s="645">
        <f t="shared" si="4"/>
        <v>565.79999999999995</v>
      </c>
    </row>
    <row r="269" spans="1:10" hidden="1">
      <c r="A269" s="624"/>
      <c r="B269" s="701"/>
      <c r="C269" s="709" t="s">
        <v>33</v>
      </c>
      <c r="D269" s="645" t="s">
        <v>18</v>
      </c>
      <c r="E269" s="629">
        <v>0.7</v>
      </c>
      <c r="F269" s="629">
        <f>'Lead Chart 24-25'!C63</f>
        <v>575</v>
      </c>
      <c r="G269" s="645">
        <f t="shared" si="4"/>
        <v>402.5</v>
      </c>
    </row>
    <row r="270" spans="1:10" hidden="1">
      <c r="A270" s="624"/>
      <c r="B270" s="701"/>
      <c r="C270" s="709" t="s">
        <v>280</v>
      </c>
      <c r="D270" s="645" t="s">
        <v>18</v>
      </c>
      <c r="E270" s="629">
        <v>2.1</v>
      </c>
      <c r="F270" s="629">
        <f>F269</f>
        <v>575</v>
      </c>
      <c r="G270" s="645">
        <f t="shared" si="4"/>
        <v>1207.5</v>
      </c>
      <c r="J270" s="737">
        <f>+J265/J267</f>
        <v>744.33333333333337</v>
      </c>
    </row>
    <row r="271" spans="1:10" hidden="1">
      <c r="A271" s="624"/>
      <c r="B271" s="701"/>
      <c r="C271" s="644" t="s">
        <v>852</v>
      </c>
      <c r="D271" s="645"/>
      <c r="E271" s="629">
        <f>'Lead Chart 24-25'!J64</f>
        <v>0.13614999999999999</v>
      </c>
      <c r="F271" s="629">
        <f>SUM(G264:G270)-(E265*G200)</f>
        <v>9540.84</v>
      </c>
      <c r="G271" s="645">
        <v>0</v>
      </c>
    </row>
    <row r="272" spans="1:10" s="739" customFormat="1" hidden="1">
      <c r="A272" s="624"/>
      <c r="B272" s="631"/>
      <c r="C272" s="711" t="s">
        <v>315</v>
      </c>
      <c r="D272" s="634"/>
      <c r="E272" s="634">
        <f>'Lead Chart 24-25'!J63</f>
        <v>0</v>
      </c>
      <c r="F272" s="634">
        <f>SUM(G267:G270)</f>
        <v>2446.6999999999998</v>
      </c>
      <c r="G272" s="634">
        <f t="shared" si="4"/>
        <v>0</v>
      </c>
    </row>
    <row r="273" spans="1:7" hidden="1">
      <c r="A273" s="633"/>
      <c r="B273" s="701"/>
      <c r="C273" s="711" t="s">
        <v>297</v>
      </c>
      <c r="D273" s="645"/>
      <c r="E273" s="629"/>
      <c r="F273" s="629" t="s">
        <v>154</v>
      </c>
      <c r="G273" s="643">
        <f>SUM(G264:G272)</f>
        <v>9540.84</v>
      </c>
    </row>
    <row r="274" spans="1:7" hidden="1">
      <c r="A274" s="624"/>
      <c r="B274" s="701"/>
      <c r="C274" s="711"/>
      <c r="D274" s="645"/>
      <c r="E274" s="629"/>
      <c r="F274" s="629"/>
      <c r="G274" s="643"/>
    </row>
    <row r="275" spans="1:7" ht="20.25" customHeight="1">
      <c r="A275" s="624"/>
      <c r="B275" s="701">
        <v>13</v>
      </c>
      <c r="C275" s="1595" t="s">
        <v>37</v>
      </c>
      <c r="D275" s="1595"/>
      <c r="E275" s="1595"/>
      <c r="F275" s="1595"/>
      <c r="G275" s="1595"/>
    </row>
    <row r="276" spans="1:7" s="1105" customFormat="1" ht="24">
      <c r="A276" s="1101" t="s">
        <v>5</v>
      </c>
      <c r="B276" s="1101"/>
      <c r="C276" s="1102" t="s">
        <v>90</v>
      </c>
      <c r="D276" s="1103"/>
      <c r="E276" s="1104"/>
      <c r="F276" s="1104"/>
      <c r="G276" s="1104"/>
    </row>
    <row r="277" spans="1:7">
      <c r="A277" s="391"/>
      <c r="B277" s="701"/>
      <c r="C277" s="628" t="s">
        <v>12</v>
      </c>
      <c r="D277" s="634"/>
      <c r="E277" s="629"/>
      <c r="F277" s="629"/>
      <c r="G277" s="629"/>
    </row>
    <row r="278" spans="1:7">
      <c r="A278" s="391"/>
      <c r="B278" s="701"/>
      <c r="C278" s="628" t="s">
        <v>107</v>
      </c>
      <c r="D278" s="634" t="s">
        <v>91</v>
      </c>
      <c r="E278" s="629">
        <v>48</v>
      </c>
      <c r="F278" s="629">
        <f>'Lead 20-21'!N41</f>
        <v>5000</v>
      </c>
      <c r="G278" s="629">
        <f>ROUND(E278*F278/1000,2)</f>
        <v>240</v>
      </c>
    </row>
    <row r="279" spans="1:7">
      <c r="A279" s="391"/>
      <c r="B279" s="701"/>
      <c r="C279" s="628" t="s">
        <v>35</v>
      </c>
      <c r="D279" s="634" t="s">
        <v>10</v>
      </c>
      <c r="E279" s="629">
        <v>512</v>
      </c>
      <c r="F279" s="629">
        <f>'Lead Chart 24-25'!N44</f>
        <v>10259.604788100163</v>
      </c>
      <c r="G279" s="629">
        <f>ROUND(E279*F279/1000,2)</f>
        <v>5252.92</v>
      </c>
    </row>
    <row r="280" spans="1:7">
      <c r="A280" s="391"/>
      <c r="B280" s="701"/>
      <c r="C280" s="628" t="s">
        <v>85</v>
      </c>
      <c r="D280" s="634" t="s">
        <v>290</v>
      </c>
      <c r="E280" s="629">
        <v>0.2</v>
      </c>
      <c r="F280" s="629">
        <f>'Lead Chart 24-25'!N13</f>
        <v>2032.3700655723276</v>
      </c>
      <c r="G280" s="629">
        <f>ROUND(E280*F280,2)</f>
        <v>406.47</v>
      </c>
    </row>
    <row r="281" spans="1:7">
      <c r="A281" s="391"/>
      <c r="B281" s="701"/>
      <c r="C281" s="628" t="s">
        <v>86</v>
      </c>
      <c r="D281" s="634"/>
      <c r="E281" s="629"/>
      <c r="F281" s="629"/>
      <c r="G281" s="629"/>
    </row>
    <row r="282" spans="1:7" ht="18.75">
      <c r="A282" s="391"/>
      <c r="B282" s="701"/>
      <c r="C282" s="628" t="s">
        <v>947</v>
      </c>
      <c r="D282" s="634" t="s">
        <v>18</v>
      </c>
      <c r="E282" s="629">
        <v>0.24</v>
      </c>
      <c r="F282" s="629">
        <f>'Lead Chart 24-25'!C64</f>
        <v>645</v>
      </c>
      <c r="G282" s="629">
        <f>ROUND(E282*F282,2)</f>
        <v>154.80000000000001</v>
      </c>
    </row>
    <row r="283" spans="1:7" ht="18.75">
      <c r="A283" s="391"/>
      <c r="B283" s="701"/>
      <c r="C283" s="628" t="s">
        <v>950</v>
      </c>
      <c r="D283" s="634" t="s">
        <v>18</v>
      </c>
      <c r="E283" s="629">
        <v>0.56000000000000005</v>
      </c>
      <c r="F283" s="629">
        <f>'Lead Chart 24-25'!C65</f>
        <v>615</v>
      </c>
      <c r="G283" s="629">
        <f>ROUND(E283*F283,2)</f>
        <v>344.4</v>
      </c>
    </row>
    <row r="284" spans="1:7">
      <c r="A284" s="391"/>
      <c r="B284" s="701"/>
      <c r="C284" s="628" t="s">
        <v>87</v>
      </c>
      <c r="D284" s="634" t="s">
        <v>18</v>
      </c>
      <c r="E284" s="629">
        <v>1.89</v>
      </c>
      <c r="F284" s="629">
        <f>'Lead Chart 24-25'!C63</f>
        <v>575</v>
      </c>
      <c r="G284" s="629">
        <f>ROUND(E284*F284,2)</f>
        <v>1086.75</v>
      </c>
    </row>
    <row r="285" spans="1:7">
      <c r="A285" s="391"/>
      <c r="B285" s="701"/>
      <c r="C285" s="711" t="s">
        <v>853</v>
      </c>
      <c r="D285" s="634"/>
      <c r="E285" s="636">
        <v>0.13614999999999999</v>
      </c>
      <c r="F285" s="629">
        <f>SUM(G278:G284)</f>
        <v>7485.34</v>
      </c>
      <c r="G285" s="629">
        <f>ROUND(E285*F285,2)</f>
        <v>1019.13</v>
      </c>
    </row>
    <row r="286" spans="1:7" s="739" customFormat="1">
      <c r="A286" s="391"/>
      <c r="B286" s="631"/>
      <c r="C286" s="711" t="s">
        <v>315</v>
      </c>
      <c r="D286" s="634"/>
      <c r="E286" s="634">
        <f>'Lead Chart 24-25'!J63</f>
        <v>0</v>
      </c>
      <c r="F286" s="634">
        <f>SUM(G282:G284)</f>
        <v>1585.95</v>
      </c>
      <c r="G286" s="634">
        <f>ROUND(F286*E286,2)</f>
        <v>0</v>
      </c>
    </row>
    <row r="287" spans="1:7">
      <c r="A287" s="633"/>
      <c r="B287" s="701"/>
      <c r="C287" s="628" t="s">
        <v>19</v>
      </c>
      <c r="D287" s="634"/>
      <c r="E287" s="629"/>
      <c r="F287" s="629" t="s">
        <v>154</v>
      </c>
      <c r="G287" s="637">
        <f>SUM(G278:G286)</f>
        <v>8504.4699999999993</v>
      </c>
    </row>
    <row r="288" spans="1:7">
      <c r="A288" s="391"/>
      <c r="B288" s="701">
        <v>14</v>
      </c>
      <c r="C288" s="644" t="s">
        <v>283</v>
      </c>
      <c r="D288" s="645"/>
      <c r="E288" s="629"/>
      <c r="F288" s="629"/>
      <c r="G288" s="645"/>
    </row>
    <row r="289" spans="1:12" s="1105" customFormat="1" ht="24">
      <c r="A289" s="1106" t="s">
        <v>282</v>
      </c>
      <c r="B289" s="1101"/>
      <c r="C289" s="1107" t="s">
        <v>38</v>
      </c>
      <c r="D289" s="1108"/>
      <c r="E289" s="1104"/>
      <c r="F289" s="1104"/>
      <c r="G289" s="1108"/>
    </row>
    <row r="290" spans="1:12">
      <c r="A290" s="624"/>
      <c r="B290" s="701"/>
      <c r="C290" s="644" t="s">
        <v>12</v>
      </c>
      <c r="D290" s="645"/>
      <c r="E290" s="629"/>
      <c r="F290" s="629"/>
      <c r="G290" s="645"/>
    </row>
    <row r="291" spans="1:12">
      <c r="A291" s="624"/>
      <c r="B291" s="701"/>
      <c r="C291" s="709" t="s">
        <v>284</v>
      </c>
      <c r="D291" s="645" t="s">
        <v>290</v>
      </c>
      <c r="E291" s="629">
        <v>0.15</v>
      </c>
      <c r="F291" s="648">
        <f>G191</f>
        <v>3741.94</v>
      </c>
      <c r="G291" s="645">
        <f>ROUND(F291*E291,2)</f>
        <v>561.29</v>
      </c>
    </row>
    <row r="292" spans="1:12">
      <c r="A292" s="624"/>
      <c r="B292" s="701"/>
      <c r="C292" s="644" t="s">
        <v>86</v>
      </c>
      <c r="D292" s="645"/>
      <c r="E292" s="629"/>
      <c r="F292" s="629"/>
      <c r="G292" s="645"/>
    </row>
    <row r="293" spans="1:12" ht="18.75">
      <c r="A293" s="624"/>
      <c r="B293" s="701"/>
      <c r="C293" s="709" t="s">
        <v>947</v>
      </c>
      <c r="D293" s="645" t="s">
        <v>18</v>
      </c>
      <c r="E293" s="629">
        <v>0.6</v>
      </c>
      <c r="F293" s="629">
        <f>'Lead Chart 24-25'!C64</f>
        <v>645</v>
      </c>
      <c r="G293" s="645">
        <f>ROUND(F293*E293,2)</f>
        <v>387</v>
      </c>
      <c r="L293" s="737">
        <f>E291*E186</f>
        <v>0.1575</v>
      </c>
    </row>
    <row r="294" spans="1:12">
      <c r="A294" s="624"/>
      <c r="B294" s="701"/>
      <c r="C294" s="709" t="s">
        <v>87</v>
      </c>
      <c r="D294" s="645" t="s">
        <v>18</v>
      </c>
      <c r="E294" s="629">
        <v>0.96</v>
      </c>
      <c r="F294" s="629">
        <f>'Lead Chart 24-25'!C63</f>
        <v>575</v>
      </c>
      <c r="G294" s="645">
        <f>ROUND(F294*E294,2)</f>
        <v>552</v>
      </c>
      <c r="L294" s="737">
        <f>E302*E176</f>
        <v>0.2205</v>
      </c>
    </row>
    <row r="295" spans="1:12">
      <c r="A295" s="624"/>
      <c r="B295" s="701"/>
      <c r="C295" s="644" t="s">
        <v>853</v>
      </c>
      <c r="D295" s="645"/>
      <c r="E295" s="636">
        <f>'Lead 20-21'!J50</f>
        <v>0.13614999999999999</v>
      </c>
      <c r="F295" s="629">
        <f>SUM(G291:G294)-(E291*G190)</f>
        <v>1500.29</v>
      </c>
      <c r="G295" s="645">
        <f>ROUND(F295*E295,2)</f>
        <v>204.26</v>
      </c>
    </row>
    <row r="296" spans="1:12" s="739" customFormat="1">
      <c r="A296" s="624"/>
      <c r="B296" s="631"/>
      <c r="C296" s="711" t="s">
        <v>315</v>
      </c>
      <c r="D296" s="634"/>
      <c r="E296" s="634">
        <f>'Lead Chart 24-25'!J63</f>
        <v>0</v>
      </c>
      <c r="F296" s="634">
        <f>SUM(G293:G294)</f>
        <v>939</v>
      </c>
      <c r="G296" s="634">
        <f>ROUND(F296*E296,2)</f>
        <v>0</v>
      </c>
    </row>
    <row r="297" spans="1:12" s="739" customFormat="1">
      <c r="A297" s="624"/>
      <c r="B297" s="631"/>
      <c r="C297" s="839" t="s">
        <v>287</v>
      </c>
      <c r="D297" s="634"/>
      <c r="E297" s="634"/>
      <c r="F297" s="634"/>
      <c r="G297" s="643">
        <f>SUM(G290:G296)</f>
        <v>1704.55</v>
      </c>
    </row>
    <row r="298" spans="1:12">
      <c r="A298" s="633"/>
      <c r="B298" s="701"/>
      <c r="C298" s="839" t="s">
        <v>1074</v>
      </c>
      <c r="D298" s="645"/>
      <c r="E298" s="629"/>
      <c r="F298" s="629" t="s">
        <v>154</v>
      </c>
      <c r="G298" s="866">
        <f>G297/10</f>
        <v>170.45499999999998</v>
      </c>
    </row>
    <row r="299" spans="1:12" ht="30.75" customHeight="1">
      <c r="A299" s="624"/>
      <c r="B299" s="701">
        <v>15</v>
      </c>
      <c r="C299" s="644" t="s">
        <v>286</v>
      </c>
      <c r="D299" s="645"/>
      <c r="E299" s="629"/>
      <c r="F299" s="629"/>
      <c r="G299" s="643"/>
    </row>
    <row r="300" spans="1:12" s="1105" customFormat="1" ht="24">
      <c r="A300" s="1106" t="s">
        <v>285</v>
      </c>
      <c r="B300" s="1101"/>
      <c r="C300" s="1107" t="s">
        <v>38</v>
      </c>
      <c r="D300" s="1108"/>
      <c r="E300" s="1104"/>
      <c r="F300" s="1104"/>
      <c r="G300" s="1109"/>
    </row>
    <row r="301" spans="1:12">
      <c r="A301" s="624"/>
      <c r="B301" s="701"/>
      <c r="C301" s="644" t="s">
        <v>12</v>
      </c>
      <c r="D301" s="645"/>
      <c r="E301" s="629"/>
      <c r="F301" s="629"/>
      <c r="G301" s="645"/>
    </row>
    <row r="302" spans="1:12">
      <c r="A302" s="624"/>
      <c r="B302" s="701"/>
      <c r="C302" s="709" t="s">
        <v>284</v>
      </c>
      <c r="D302" s="645" t="s">
        <v>290</v>
      </c>
      <c r="E302" s="629">
        <v>0.21</v>
      </c>
      <c r="F302" s="648">
        <f>G191</f>
        <v>3741.94</v>
      </c>
      <c r="G302" s="645">
        <f>ROUND(F302*E302,2)</f>
        <v>785.81</v>
      </c>
    </row>
    <row r="303" spans="1:12">
      <c r="A303" s="624"/>
      <c r="B303" s="701"/>
      <c r="C303" s="644" t="s">
        <v>86</v>
      </c>
      <c r="D303" s="645"/>
      <c r="E303" s="629"/>
      <c r="F303" s="629"/>
      <c r="G303" s="645"/>
    </row>
    <row r="304" spans="1:12" ht="18.75">
      <c r="A304" s="624"/>
      <c r="B304" s="701"/>
      <c r="C304" s="709" t="s">
        <v>950</v>
      </c>
      <c r="D304" s="645" t="s">
        <v>18</v>
      </c>
      <c r="E304" s="629">
        <v>0.94</v>
      </c>
      <c r="F304" s="629">
        <f>'Lead Chart 24-25'!C65</f>
        <v>615</v>
      </c>
      <c r="G304" s="645">
        <f>ROUND(F304*E304,2)</f>
        <v>578.1</v>
      </c>
    </row>
    <row r="305" spans="1:7">
      <c r="A305" s="624"/>
      <c r="B305" s="701"/>
      <c r="C305" s="709" t="s">
        <v>87</v>
      </c>
      <c r="D305" s="645" t="s">
        <v>18</v>
      </c>
      <c r="E305" s="629">
        <v>1.6</v>
      </c>
      <c r="F305" s="629">
        <f>'Lead Chart 24-25'!C63</f>
        <v>575</v>
      </c>
      <c r="G305" s="645">
        <f>ROUND(F305*E305,2)</f>
        <v>920</v>
      </c>
    </row>
    <row r="306" spans="1:7">
      <c r="A306" s="624"/>
      <c r="B306" s="701"/>
      <c r="C306" s="644" t="s">
        <v>853</v>
      </c>
      <c r="D306" s="645"/>
      <c r="E306" s="636">
        <f>'Lead 20-21'!J50</f>
        <v>0.13614999999999999</v>
      </c>
      <c r="F306" s="629">
        <f>SUM(G302:G305)-(E302*G190)</f>
        <v>2283.91</v>
      </c>
      <c r="G306" s="645">
        <f>ROUND(F306*E306,2)</f>
        <v>310.95</v>
      </c>
    </row>
    <row r="307" spans="1:7" s="739" customFormat="1">
      <c r="A307" s="624"/>
      <c r="B307" s="631"/>
      <c r="C307" s="628" t="s">
        <v>315</v>
      </c>
      <c r="D307" s="634"/>
      <c r="E307" s="634">
        <f>'Lead Chart 24-25'!J63</f>
        <v>0</v>
      </c>
      <c r="F307" s="634">
        <f>SUM(G304:G305)</f>
        <v>1498.1</v>
      </c>
      <c r="G307" s="634">
        <f>ROUND(F307*E307,2)</f>
        <v>0</v>
      </c>
    </row>
    <row r="308" spans="1:7">
      <c r="A308" s="633"/>
      <c r="B308" s="701"/>
      <c r="C308" s="711" t="s">
        <v>287</v>
      </c>
      <c r="D308" s="645"/>
      <c r="E308" s="629"/>
      <c r="F308" s="629" t="s">
        <v>154</v>
      </c>
      <c r="G308" s="643">
        <f>SUM(G302:G307)</f>
        <v>2594.8599999999997</v>
      </c>
    </row>
    <row r="309" spans="1:7" s="739" customFormat="1" ht="25.5" customHeight="1">
      <c r="A309" s="624"/>
      <c r="B309" s="631"/>
      <c r="C309" s="839" t="s">
        <v>1074</v>
      </c>
      <c r="D309" s="632"/>
      <c r="E309" s="629"/>
      <c r="F309" s="629"/>
      <c r="G309" s="637">
        <f>G308/10</f>
        <v>259.48599999999999</v>
      </c>
    </row>
    <row r="310" spans="1:7" ht="78.75" customHeight="1">
      <c r="A310" s="620"/>
      <c r="B310" s="682">
        <v>16</v>
      </c>
      <c r="C310" s="730" t="s">
        <v>305</v>
      </c>
      <c r="D310" s="645"/>
      <c r="E310" s="629"/>
      <c r="F310" s="630"/>
      <c r="G310" s="807"/>
    </row>
    <row r="311" spans="1:7" s="750" customFormat="1">
      <c r="A311" s="808"/>
      <c r="B311" s="808"/>
      <c r="C311" s="730" t="s">
        <v>1262</v>
      </c>
      <c r="D311" s="645" t="s">
        <v>226</v>
      </c>
      <c r="E311" s="629">
        <v>1</v>
      </c>
      <c r="F311" s="904">
        <v>2716</v>
      </c>
      <c r="G311" s="809">
        <f>F311*E311</f>
        <v>2716</v>
      </c>
    </row>
    <row r="312" spans="1:7" s="750" customFormat="1">
      <c r="A312" s="808"/>
      <c r="B312" s="808"/>
      <c r="C312" s="730" t="s">
        <v>853</v>
      </c>
      <c r="D312" s="645"/>
      <c r="E312" s="636">
        <f>E306</f>
        <v>0.13614999999999999</v>
      </c>
      <c r="F312" s="904">
        <f>G311</f>
        <v>2716</v>
      </c>
      <c r="G312" s="809">
        <f>F312*E312</f>
        <v>369.78339999999997</v>
      </c>
    </row>
    <row r="313" spans="1:7" s="750" customFormat="1">
      <c r="A313" s="808"/>
      <c r="B313" s="808"/>
      <c r="C313" s="810" t="s">
        <v>1</v>
      </c>
      <c r="D313" s="391"/>
      <c r="E313" s="629"/>
      <c r="F313" s="630" t="s">
        <v>154</v>
      </c>
      <c r="G313" s="807">
        <f>SUM(G311:G312)</f>
        <v>3085.7833999999998</v>
      </c>
    </row>
    <row r="314" spans="1:7" s="750" customFormat="1">
      <c r="A314" s="808"/>
      <c r="B314" s="808"/>
      <c r="C314" s="730" t="s">
        <v>1032</v>
      </c>
      <c r="D314" s="645" t="s">
        <v>226</v>
      </c>
      <c r="E314" s="629">
        <v>1</v>
      </c>
      <c r="F314" s="904">
        <v>2911</v>
      </c>
      <c r="G314" s="809">
        <f>F314*E314</f>
        <v>2911</v>
      </c>
    </row>
    <row r="315" spans="1:7" s="750" customFormat="1">
      <c r="A315" s="808"/>
      <c r="B315" s="808"/>
      <c r="C315" s="730" t="s">
        <v>853</v>
      </c>
      <c r="D315" s="645"/>
      <c r="E315" s="636">
        <f>E312</f>
        <v>0.13614999999999999</v>
      </c>
      <c r="F315" s="904">
        <f>G314</f>
        <v>2911</v>
      </c>
      <c r="G315" s="809">
        <f>F315*E315</f>
        <v>396.33265</v>
      </c>
    </row>
    <row r="316" spans="1:7" s="750" customFormat="1">
      <c r="A316" s="808"/>
      <c r="B316" s="808"/>
      <c r="C316" s="810" t="s">
        <v>1</v>
      </c>
      <c r="D316" s="391"/>
      <c r="E316" s="629"/>
      <c r="F316" s="630" t="s">
        <v>154</v>
      </c>
      <c r="G316" s="807">
        <f>SUM(G314:G315)</f>
        <v>3307.3326499999998</v>
      </c>
    </row>
    <row r="317" spans="1:7" customFormat="1" ht="147.75" hidden="1" customHeight="1">
      <c r="A317" s="921">
        <v>4</v>
      </c>
      <c r="B317" s="921"/>
      <c r="C317" s="1646" t="s">
        <v>1172</v>
      </c>
      <c r="D317" s="1646"/>
      <c r="E317" s="1646"/>
      <c r="F317" s="1646"/>
      <c r="G317" s="1646"/>
    </row>
    <row r="318" spans="1:7" customFormat="1" ht="15" hidden="1">
      <c r="A318" s="922"/>
      <c r="B318" s="921"/>
      <c r="C318" s="923"/>
      <c r="D318" s="923"/>
      <c r="E318" s="924"/>
      <c r="F318" s="924"/>
      <c r="G318" s="924"/>
    </row>
    <row r="319" spans="1:7" customFormat="1" ht="15" hidden="1">
      <c r="A319" s="922"/>
      <c r="B319" s="921"/>
      <c r="C319" s="925" t="s">
        <v>372</v>
      </c>
      <c r="D319" s="926"/>
      <c r="E319" s="924"/>
      <c r="F319" s="924"/>
      <c r="G319" s="924"/>
    </row>
    <row r="320" spans="1:7" customFormat="1" ht="15" hidden="1">
      <c r="A320" s="922"/>
      <c r="B320" s="921"/>
      <c r="C320" s="925" t="s">
        <v>1173</v>
      </c>
      <c r="D320" s="926"/>
      <c r="E320" s="924"/>
      <c r="F320" s="924"/>
      <c r="G320" s="924"/>
    </row>
    <row r="321" spans="1:9" customFormat="1" ht="15" hidden="1">
      <c r="A321" s="922"/>
      <c r="B321" s="921"/>
      <c r="C321" s="925" t="s">
        <v>1174</v>
      </c>
      <c r="D321" s="926"/>
      <c r="E321" s="924"/>
      <c r="F321" s="924"/>
      <c r="G321" s="924"/>
    </row>
    <row r="322" spans="1:9" customFormat="1" ht="15" hidden="1">
      <c r="A322" s="922"/>
      <c r="B322" s="921" t="s">
        <v>681</v>
      </c>
      <c r="C322" s="927" t="s">
        <v>1026</v>
      </c>
      <c r="D322" s="926"/>
      <c r="E322" s="924"/>
      <c r="F322" s="924"/>
      <c r="G322" s="924"/>
    </row>
    <row r="323" spans="1:9" customFormat="1" ht="15" hidden="1">
      <c r="A323" s="922"/>
      <c r="B323" s="921"/>
      <c r="C323" s="925" t="s">
        <v>1175</v>
      </c>
      <c r="D323" s="928" t="s">
        <v>18</v>
      </c>
      <c r="E323" s="929">
        <v>5</v>
      </c>
      <c r="F323" s="924">
        <f>F293</f>
        <v>645</v>
      </c>
      <c r="G323" s="924">
        <f>E323*F323</f>
        <v>3225</v>
      </c>
    </row>
    <row r="324" spans="1:9" customFormat="1" ht="15" hidden="1">
      <c r="A324" s="922"/>
      <c r="B324" s="921"/>
      <c r="C324" s="925" t="s">
        <v>1176</v>
      </c>
      <c r="D324" s="928" t="s">
        <v>18</v>
      </c>
      <c r="E324" s="929">
        <v>5</v>
      </c>
      <c r="F324" s="924">
        <f>F283</f>
        <v>615</v>
      </c>
      <c r="G324" s="924">
        <f>E324*F324</f>
        <v>3075</v>
      </c>
    </row>
    <row r="325" spans="1:9" customFormat="1" ht="15" hidden="1">
      <c r="A325" s="922"/>
      <c r="B325" s="921"/>
      <c r="C325" s="925" t="s">
        <v>1177</v>
      </c>
      <c r="D325" s="928" t="s">
        <v>18</v>
      </c>
      <c r="E325" s="929">
        <v>150</v>
      </c>
      <c r="F325" s="924">
        <f>F284</f>
        <v>575</v>
      </c>
      <c r="G325" s="924">
        <f>E325*F325</f>
        <v>86250</v>
      </c>
    </row>
    <row r="326" spans="1:9" customFormat="1" ht="15" hidden="1">
      <c r="A326" s="922"/>
      <c r="B326" s="921"/>
      <c r="C326" s="925" t="s">
        <v>1178</v>
      </c>
      <c r="D326" s="928" t="s">
        <v>18</v>
      </c>
      <c r="E326" s="929">
        <v>6</v>
      </c>
      <c r="F326" s="924">
        <v>0</v>
      </c>
      <c r="G326" s="924">
        <v>0</v>
      </c>
    </row>
    <row r="327" spans="1:9" customFormat="1" ht="15" hidden="1">
      <c r="A327" s="922"/>
      <c r="B327" s="921"/>
      <c r="C327" s="925" t="s">
        <v>901</v>
      </c>
      <c r="D327" s="928" t="s">
        <v>18</v>
      </c>
      <c r="E327" s="929">
        <v>2</v>
      </c>
      <c r="F327" s="924">
        <v>0</v>
      </c>
      <c r="G327" s="924">
        <v>0</v>
      </c>
    </row>
    <row r="328" spans="1:9" customFormat="1" ht="15" hidden="1">
      <c r="A328" s="922"/>
      <c r="B328" s="921"/>
      <c r="C328" s="925" t="s">
        <v>1179</v>
      </c>
      <c r="D328" s="928" t="s">
        <v>18</v>
      </c>
      <c r="E328" s="929">
        <v>6</v>
      </c>
      <c r="F328" s="924">
        <v>0</v>
      </c>
      <c r="G328" s="924">
        <v>0</v>
      </c>
    </row>
    <row r="329" spans="1:9" customFormat="1" ht="15" hidden="1">
      <c r="A329" s="922"/>
      <c r="B329" s="921"/>
      <c r="C329" s="930"/>
      <c r="D329" s="931"/>
      <c r="E329" s="932"/>
      <c r="F329" s="932"/>
      <c r="G329" s="932">
        <f>SUM(G323:G328)</f>
        <v>92550</v>
      </c>
    </row>
    <row r="330" spans="1:9" customFormat="1" ht="15" hidden="1">
      <c r="A330" s="922"/>
      <c r="B330" s="921"/>
      <c r="C330" s="933" t="s">
        <v>1180</v>
      </c>
      <c r="D330" s="934"/>
      <c r="E330" s="935">
        <v>0</v>
      </c>
      <c r="F330" s="935">
        <f>G329</f>
        <v>92550</v>
      </c>
      <c r="G330" s="924">
        <f>E330*F330</f>
        <v>0</v>
      </c>
    </row>
    <row r="331" spans="1:9" customFormat="1" ht="15" hidden="1">
      <c r="A331" s="922"/>
      <c r="B331" s="921"/>
      <c r="C331" s="933"/>
      <c r="D331" s="934"/>
      <c r="E331" s="935"/>
      <c r="F331" s="936" t="s">
        <v>1181</v>
      </c>
      <c r="G331" s="935">
        <f>SUM(G329:G330)</f>
        <v>92550</v>
      </c>
    </row>
    <row r="332" spans="1:9" customFormat="1" ht="15" hidden="1">
      <c r="A332" s="922"/>
      <c r="B332" s="921" t="s">
        <v>1182</v>
      </c>
      <c r="C332" s="937" t="s">
        <v>1183</v>
      </c>
      <c r="D332" s="931"/>
      <c r="E332" s="932"/>
      <c r="F332" s="932"/>
      <c r="G332" s="932"/>
    </row>
    <row r="333" spans="1:9" customFormat="1" ht="31.5" hidden="1" customHeight="1">
      <c r="A333" s="922"/>
      <c r="B333" s="921"/>
      <c r="C333" s="923" t="s">
        <v>1184</v>
      </c>
      <c r="D333" s="928" t="s">
        <v>1185</v>
      </c>
      <c r="E333" s="929">
        <v>36</v>
      </c>
      <c r="F333" s="924">
        <v>697.9</v>
      </c>
      <c r="G333" s="924">
        <f>E333*F333</f>
        <v>25124.399999999998</v>
      </c>
    </row>
    <row r="334" spans="1:9" customFormat="1" ht="15" hidden="1">
      <c r="A334" s="922"/>
      <c r="B334" s="921"/>
      <c r="C334" s="923" t="s">
        <v>1186</v>
      </c>
      <c r="D334" s="928" t="s">
        <v>1185</v>
      </c>
      <c r="E334" s="929">
        <v>9</v>
      </c>
      <c r="F334" s="924">
        <v>293.5</v>
      </c>
      <c r="G334" s="924">
        <f>E334*F334</f>
        <v>2641.5</v>
      </c>
    </row>
    <row r="335" spans="1:9" customFormat="1" ht="15" hidden="1">
      <c r="A335" s="922"/>
      <c r="B335" s="921"/>
      <c r="C335" s="923" t="s">
        <v>1187</v>
      </c>
      <c r="D335" s="928" t="s">
        <v>1185</v>
      </c>
      <c r="E335" s="929">
        <v>9</v>
      </c>
      <c r="F335" s="924">
        <v>59</v>
      </c>
      <c r="G335" s="924">
        <f>E335*F335</f>
        <v>531</v>
      </c>
    </row>
    <row r="336" spans="1:9" customFormat="1" ht="15" hidden="1">
      <c r="A336" s="922"/>
      <c r="B336" s="921"/>
      <c r="C336" s="923" t="s">
        <v>1188</v>
      </c>
      <c r="D336" s="928" t="s">
        <v>1185</v>
      </c>
      <c r="E336" s="929">
        <v>5</v>
      </c>
      <c r="F336" s="924">
        <v>769</v>
      </c>
      <c r="G336" s="924">
        <f>E336*F336</f>
        <v>3845</v>
      </c>
      <c r="I336" s="938"/>
    </row>
    <row r="337" spans="1:9" customFormat="1" ht="15" hidden="1">
      <c r="A337" s="922"/>
      <c r="B337" s="921"/>
      <c r="C337" s="923" t="s">
        <v>1189</v>
      </c>
      <c r="D337" s="928" t="s">
        <v>1185</v>
      </c>
      <c r="E337" s="929">
        <v>2</v>
      </c>
      <c r="F337" s="924">
        <v>727.6</v>
      </c>
      <c r="G337" s="924">
        <v>0</v>
      </c>
      <c r="I337" s="938"/>
    </row>
    <row r="338" spans="1:9" customFormat="1" ht="15" hidden="1">
      <c r="A338" s="922"/>
      <c r="B338" s="921"/>
      <c r="C338" s="930"/>
      <c r="D338" s="928"/>
      <c r="E338" s="929"/>
      <c r="F338" s="939" t="s">
        <v>1190</v>
      </c>
      <c r="G338" s="924">
        <f>SUM(G333:G337)</f>
        <v>32141.899999999998</v>
      </c>
      <c r="I338" s="938"/>
    </row>
    <row r="339" spans="1:9" customFormat="1" ht="15" hidden="1">
      <c r="A339" s="922"/>
      <c r="B339" s="921" t="s">
        <v>684</v>
      </c>
      <c r="C339" s="937" t="s">
        <v>1191</v>
      </c>
      <c r="D339" s="928"/>
      <c r="E339" s="929"/>
      <c r="F339" s="929"/>
      <c r="G339" s="924"/>
      <c r="I339" s="938"/>
    </row>
    <row r="340" spans="1:9" customFormat="1" ht="45" hidden="1">
      <c r="A340" s="922"/>
      <c r="B340" s="921" t="s">
        <v>1192</v>
      </c>
      <c r="C340" s="923" t="s">
        <v>1193</v>
      </c>
      <c r="D340" s="928"/>
      <c r="E340" s="929"/>
      <c r="F340" s="929"/>
      <c r="G340" s="924"/>
      <c r="I340" s="938"/>
    </row>
    <row r="341" spans="1:9" customFormat="1" ht="15" hidden="1">
      <c r="A341" s="922"/>
      <c r="B341" s="921"/>
      <c r="C341" s="923" t="s">
        <v>1194</v>
      </c>
      <c r="D341" s="928" t="s">
        <v>109</v>
      </c>
      <c r="E341" s="929">
        <v>44.55</v>
      </c>
      <c r="F341" s="929">
        <f>'Lead Chart 24-25'!N33</f>
        <v>2005.5179333714736</v>
      </c>
      <c r="G341" s="924">
        <f>ROUNDDOWN(E341*F341,2)</f>
        <v>89345.82</v>
      </c>
    </row>
    <row r="342" spans="1:9" customFormat="1" ht="15" hidden="1">
      <c r="A342" s="922"/>
      <c r="B342" s="921"/>
      <c r="C342" s="923" t="s">
        <v>1195</v>
      </c>
      <c r="D342" s="928" t="s">
        <v>109</v>
      </c>
      <c r="E342" s="929">
        <v>22.95</v>
      </c>
      <c r="F342" s="929">
        <f>'Lead Chart 24-25'!N36</f>
        <v>1754.5179333714736</v>
      </c>
      <c r="G342" s="924">
        <f t="shared" ref="G342:G350" si="5">ROUNDDOWN(E342*F342,2)</f>
        <v>40266.18</v>
      </c>
    </row>
    <row r="343" spans="1:9" customFormat="1" ht="30" hidden="1">
      <c r="A343" s="922"/>
      <c r="B343" s="921" t="s">
        <v>1196</v>
      </c>
      <c r="C343" s="923" t="s">
        <v>1197</v>
      </c>
      <c r="D343" s="928" t="s">
        <v>290</v>
      </c>
      <c r="E343" s="929">
        <f>33.75/2</f>
        <v>16.875</v>
      </c>
      <c r="F343" s="929">
        <f>'Lead Chart 24-25'!N12</f>
        <v>1812.3700655723276</v>
      </c>
      <c r="G343" s="924">
        <f t="shared" si="5"/>
        <v>30583.74</v>
      </c>
    </row>
    <row r="344" spans="1:9" customFormat="1" ht="30" hidden="1">
      <c r="A344" s="922"/>
      <c r="B344" s="921"/>
      <c r="C344" s="923" t="s">
        <v>1223</v>
      </c>
      <c r="D344" s="928" t="s">
        <v>290</v>
      </c>
      <c r="E344" s="929">
        <f>33.75/2</f>
        <v>16.875</v>
      </c>
      <c r="F344" s="929">
        <f>'Lead Chart 24-25'!N15</f>
        <v>1447.5179333714736</v>
      </c>
      <c r="G344" s="924">
        <f>ROUNDDOWN(E344*F344,2)</f>
        <v>24426.86</v>
      </c>
    </row>
    <row r="345" spans="1:9" customFormat="1" ht="15" hidden="1">
      <c r="A345" s="922"/>
      <c r="B345" s="921" t="s">
        <v>1198</v>
      </c>
      <c r="C345" s="923" t="s">
        <v>1199</v>
      </c>
      <c r="D345" s="928" t="s">
        <v>96</v>
      </c>
      <c r="E345" s="929">
        <v>24.75</v>
      </c>
      <c r="F345" s="929">
        <f>'Lead Chart 24-25'!F43</f>
        <v>5000</v>
      </c>
      <c r="G345" s="924">
        <f t="shared" si="5"/>
        <v>123750</v>
      </c>
    </row>
    <row r="346" spans="1:9" customFormat="1" ht="15" hidden="1">
      <c r="A346" s="923" t="s">
        <v>1200</v>
      </c>
      <c r="B346" s="940" t="s">
        <v>1201</v>
      </c>
      <c r="C346" s="923" t="s">
        <v>1202</v>
      </c>
      <c r="D346" s="928" t="s">
        <v>1203</v>
      </c>
      <c r="E346" s="929">
        <v>412.5</v>
      </c>
      <c r="F346" s="929">
        <v>19</v>
      </c>
      <c r="G346" s="924">
        <f t="shared" si="5"/>
        <v>7837.5</v>
      </c>
    </row>
    <row r="347" spans="1:9" customFormat="1" ht="27" hidden="1">
      <c r="A347" s="941" t="s">
        <v>1204</v>
      </c>
      <c r="B347" s="940" t="s">
        <v>1205</v>
      </c>
      <c r="C347" s="942" t="s">
        <v>1206</v>
      </c>
      <c r="D347" s="940" t="s">
        <v>1207</v>
      </c>
      <c r="E347" s="943">
        <v>122</v>
      </c>
      <c r="F347" s="929">
        <v>112</v>
      </c>
      <c r="G347" s="924">
        <v>0</v>
      </c>
    </row>
    <row r="348" spans="1:9" customFormat="1" ht="15" hidden="1">
      <c r="A348" s="923" t="s">
        <v>1208</v>
      </c>
      <c r="B348" s="940" t="s">
        <v>1209</v>
      </c>
      <c r="C348" s="942" t="s">
        <v>1210</v>
      </c>
      <c r="D348" s="940" t="s">
        <v>1207</v>
      </c>
      <c r="E348" s="943">
        <v>131.25</v>
      </c>
      <c r="F348" s="929">
        <v>157</v>
      </c>
      <c r="G348" s="924">
        <v>0</v>
      </c>
    </row>
    <row r="349" spans="1:9" customFormat="1" ht="45" hidden="1">
      <c r="A349" s="922"/>
      <c r="B349" s="940" t="s">
        <v>1211</v>
      </c>
      <c r="C349" s="923" t="s">
        <v>1212</v>
      </c>
      <c r="D349" s="928" t="s">
        <v>1203</v>
      </c>
      <c r="E349" s="929">
        <v>4.3499999999999996</v>
      </c>
      <c r="F349" s="929">
        <v>650</v>
      </c>
      <c r="G349" s="924">
        <f t="shared" si="5"/>
        <v>2827.5</v>
      </c>
    </row>
    <row r="350" spans="1:9" customFormat="1" ht="15" hidden="1">
      <c r="A350" s="922"/>
      <c r="B350" s="921"/>
      <c r="C350" s="923" t="s">
        <v>1213</v>
      </c>
      <c r="D350" s="928" t="s">
        <v>1214</v>
      </c>
      <c r="E350" s="929">
        <v>18</v>
      </c>
      <c r="F350" s="929">
        <v>81</v>
      </c>
      <c r="G350" s="924">
        <f t="shared" si="5"/>
        <v>1458</v>
      </c>
    </row>
    <row r="351" spans="1:9" customFormat="1" ht="15" hidden="1">
      <c r="A351" s="922"/>
      <c r="B351" s="921"/>
      <c r="C351" s="944"/>
      <c r="D351" s="931"/>
      <c r="E351" s="932"/>
      <c r="F351" s="945" t="s">
        <v>1215</v>
      </c>
      <c r="G351" s="945">
        <f>SUM(G341:G350)</f>
        <v>320495.59999999998</v>
      </c>
    </row>
    <row r="352" spans="1:9" customFormat="1" ht="15" hidden="1">
      <c r="A352" s="922"/>
      <c r="B352" s="921"/>
      <c r="C352" s="930" t="s">
        <v>1216</v>
      </c>
      <c r="D352" s="931"/>
      <c r="E352" s="932"/>
      <c r="F352" s="932"/>
      <c r="G352" s="932">
        <f>G351+G338+G331</f>
        <v>445187.5</v>
      </c>
    </row>
    <row r="353" spans="1:7" customFormat="1" ht="15" hidden="1">
      <c r="A353" s="922"/>
      <c r="B353" s="921" t="s">
        <v>1217</v>
      </c>
      <c r="C353" s="930" t="s">
        <v>1218</v>
      </c>
      <c r="D353" s="931"/>
      <c r="E353" s="932"/>
      <c r="F353" s="932"/>
      <c r="G353" s="932">
        <f>G352*3%</f>
        <v>13355.625</v>
      </c>
    </row>
    <row r="354" spans="1:7" customFormat="1" ht="15" hidden="1">
      <c r="A354" s="922"/>
      <c r="B354" s="921"/>
      <c r="C354" s="930" t="s">
        <v>1219</v>
      </c>
      <c r="D354" s="931"/>
      <c r="E354" s="932"/>
      <c r="F354" s="932"/>
      <c r="G354" s="932">
        <f>SUM(G352:G353)</f>
        <v>458543.125</v>
      </c>
    </row>
    <row r="355" spans="1:7" customFormat="1" ht="15" hidden="1">
      <c r="A355" s="922"/>
      <c r="B355" s="921"/>
      <c r="C355" s="930" t="s">
        <v>1220</v>
      </c>
      <c r="D355" s="931"/>
      <c r="E355" s="932"/>
      <c r="F355" s="932"/>
      <c r="G355" s="932">
        <f>G354/75</f>
        <v>6113.9083333333338</v>
      </c>
    </row>
    <row r="356" spans="1:7" customFormat="1" ht="15" hidden="1">
      <c r="A356" s="922"/>
      <c r="B356" s="921"/>
      <c r="C356" s="946" t="s">
        <v>1221</v>
      </c>
      <c r="D356" s="947"/>
      <c r="E356" s="948">
        <f>F106</f>
        <v>0.13614999999999999</v>
      </c>
      <c r="F356" s="949">
        <f>G355</f>
        <v>6113.9083333333338</v>
      </c>
      <c r="G356" s="949">
        <f>ROUND(F356*E356,2)</f>
        <v>832.41</v>
      </c>
    </row>
    <row r="357" spans="1:7" customFormat="1" ht="15" hidden="1">
      <c r="A357" s="922"/>
      <c r="B357" s="921"/>
      <c r="C357" s="925"/>
      <c r="D357" s="950"/>
      <c r="E357" s="935"/>
      <c r="F357" s="951"/>
      <c r="G357" s="951">
        <f>SUM(G355:G356)</f>
        <v>6946.3183333333336</v>
      </c>
    </row>
    <row r="358" spans="1:7" customFormat="1" ht="15" hidden="1">
      <c r="A358" s="922"/>
      <c r="B358" s="921"/>
      <c r="C358" s="952" t="s">
        <v>1222</v>
      </c>
      <c r="D358" s="953"/>
      <c r="E358" s="954"/>
      <c r="F358" s="954" t="s">
        <v>651</v>
      </c>
      <c r="G358" s="955">
        <f>G357</f>
        <v>6946.3183333333336</v>
      </c>
    </row>
    <row r="359" spans="1:7" s="1250" customFormat="1" ht="156" customHeight="1">
      <c r="A359" s="1249">
        <v>10</v>
      </c>
      <c r="B359" s="1559" t="s">
        <v>1346</v>
      </c>
      <c r="C359" s="1559"/>
      <c r="D359" s="1559"/>
      <c r="E359" s="1559"/>
      <c r="F359" s="1559"/>
      <c r="G359" s="1559"/>
    </row>
    <row r="360" spans="1:7" s="1250" customFormat="1" ht="15">
      <c r="A360" s="1249"/>
      <c r="B360" s="1251"/>
      <c r="C360" s="1252" t="s">
        <v>372</v>
      </c>
      <c r="D360" s="1253"/>
      <c r="E360" s="1254"/>
      <c r="F360" s="1254"/>
      <c r="G360" s="1255"/>
    </row>
    <row r="361" spans="1:7" s="1250" customFormat="1" ht="15">
      <c r="A361" s="1249"/>
      <c r="B361" s="1251"/>
      <c r="C361" s="1252" t="s">
        <v>1173</v>
      </c>
      <c r="D361" s="1253"/>
      <c r="E361" s="1254"/>
      <c r="F361" s="1254"/>
      <c r="G361" s="1255"/>
    </row>
    <row r="362" spans="1:7" s="1250" customFormat="1" ht="15">
      <c r="A362" s="1249"/>
      <c r="B362" s="1251"/>
      <c r="C362" s="1252" t="s">
        <v>1174</v>
      </c>
      <c r="D362" s="1253"/>
      <c r="E362" s="1254"/>
      <c r="F362" s="1254"/>
      <c r="G362" s="1255"/>
    </row>
    <row r="363" spans="1:7" s="1250" customFormat="1" ht="15">
      <c r="A363" s="1249"/>
      <c r="B363" s="1251" t="s">
        <v>1181</v>
      </c>
      <c r="C363" s="1256" t="s">
        <v>1026</v>
      </c>
      <c r="D363" s="1254"/>
      <c r="E363" s="1254"/>
      <c r="F363" s="1254"/>
      <c r="G363" s="1257"/>
    </row>
    <row r="364" spans="1:7" s="1258" customFormat="1" ht="15">
      <c r="A364" s="1249"/>
      <c r="B364" s="1254" t="s">
        <v>18</v>
      </c>
      <c r="C364" s="1252" t="s">
        <v>1175</v>
      </c>
      <c r="D364" s="1254" t="s">
        <v>1347</v>
      </c>
      <c r="E364" s="1254">
        <v>5</v>
      </c>
      <c r="F364" s="1254">
        <f>F323</f>
        <v>645</v>
      </c>
      <c r="G364" s="1257">
        <f t="shared" ref="G364:G371" si="6">ROUND(E364*F364,2)</f>
        <v>3225</v>
      </c>
    </row>
    <row r="365" spans="1:7" s="1258" customFormat="1" ht="15">
      <c r="A365" s="1249"/>
      <c r="B365" s="1254" t="s">
        <v>18</v>
      </c>
      <c r="C365" s="1252" t="s">
        <v>1176</v>
      </c>
      <c r="D365" s="1254" t="s">
        <v>1347</v>
      </c>
      <c r="E365" s="1254">
        <v>5</v>
      </c>
      <c r="F365" s="1254">
        <f>F324</f>
        <v>615</v>
      </c>
      <c r="G365" s="1257">
        <f t="shared" si="6"/>
        <v>3075</v>
      </c>
    </row>
    <row r="366" spans="1:7" s="1258" customFormat="1" ht="15">
      <c r="A366" s="1249"/>
      <c r="B366" s="1254" t="s">
        <v>18</v>
      </c>
      <c r="C366" s="1252" t="s">
        <v>1177</v>
      </c>
      <c r="D366" s="1254" t="s">
        <v>1347</v>
      </c>
      <c r="E366" s="1254">
        <v>150</v>
      </c>
      <c r="F366" s="1254">
        <f>F325</f>
        <v>575</v>
      </c>
      <c r="G366" s="1257">
        <f t="shared" si="6"/>
        <v>86250</v>
      </c>
    </row>
    <row r="367" spans="1:7" s="1258" customFormat="1" ht="15">
      <c r="A367" s="1249"/>
      <c r="B367" s="1254" t="s">
        <v>18</v>
      </c>
      <c r="C367" s="1252" t="s">
        <v>1178</v>
      </c>
      <c r="D367" s="1254" t="s">
        <v>1347</v>
      </c>
      <c r="E367" s="1254">
        <v>6</v>
      </c>
      <c r="F367" s="1254">
        <f>F366</f>
        <v>575</v>
      </c>
      <c r="G367" s="1257">
        <f t="shared" si="6"/>
        <v>3450</v>
      </c>
    </row>
    <row r="368" spans="1:7" s="1258" customFormat="1" ht="15">
      <c r="A368" s="1249"/>
      <c r="B368" s="1254" t="s">
        <v>18</v>
      </c>
      <c r="C368" s="1252" t="s">
        <v>901</v>
      </c>
      <c r="D368" s="1254" t="s">
        <v>1347</v>
      </c>
      <c r="E368" s="1254">
        <v>2</v>
      </c>
      <c r="F368" s="1254">
        <v>0</v>
      </c>
      <c r="G368" s="1257">
        <f t="shared" si="6"/>
        <v>0</v>
      </c>
    </row>
    <row r="369" spans="1:12" s="1258" customFormat="1" ht="15">
      <c r="A369" s="1249"/>
      <c r="B369" s="1254" t="s">
        <v>18</v>
      </c>
      <c r="C369" s="1252" t="s">
        <v>1179</v>
      </c>
      <c r="D369" s="1254" t="s">
        <v>1347</v>
      </c>
      <c r="E369" s="1254">
        <v>6</v>
      </c>
      <c r="F369" s="1254">
        <f>F367</f>
        <v>575</v>
      </c>
      <c r="G369" s="1257">
        <f t="shared" si="6"/>
        <v>3450</v>
      </c>
    </row>
    <row r="370" spans="1:12" s="1258" customFormat="1" ht="30">
      <c r="A370" s="1249"/>
      <c r="B370" s="1254" t="s">
        <v>18</v>
      </c>
      <c r="C370" s="1252" t="s">
        <v>1348</v>
      </c>
      <c r="D370" s="1254" t="s">
        <v>1347</v>
      </c>
      <c r="E370" s="1254">
        <v>1</v>
      </c>
      <c r="F370" s="1254">
        <v>0</v>
      </c>
      <c r="G370" s="1257">
        <f t="shared" si="6"/>
        <v>0</v>
      </c>
    </row>
    <row r="371" spans="1:12" s="1250" customFormat="1" ht="15">
      <c r="A371" s="1249"/>
      <c r="B371" s="1254"/>
      <c r="C371" s="1252" t="s">
        <v>1349</v>
      </c>
      <c r="D371" s="1253"/>
      <c r="E371" s="1254">
        <f>'[39]Input Data'!$D$23</f>
        <v>0</v>
      </c>
      <c r="F371" s="1254">
        <f>SUM(G363:G370)</f>
        <v>99450</v>
      </c>
      <c r="G371" s="1257">
        <f t="shared" si="6"/>
        <v>0</v>
      </c>
    </row>
    <row r="372" spans="1:12" s="1250" customFormat="1" ht="15">
      <c r="A372" s="1249"/>
      <c r="B372" s="1254"/>
      <c r="C372" s="1252" t="s">
        <v>106</v>
      </c>
      <c r="D372" s="1253"/>
      <c r="E372" s="1254"/>
      <c r="F372" s="1254"/>
      <c r="G372" s="1259">
        <f>SUM(G364:G371)</f>
        <v>99450</v>
      </c>
    </row>
    <row r="373" spans="1:12" s="1250" customFormat="1" ht="15">
      <c r="A373" s="1249"/>
      <c r="B373" s="1254" t="s">
        <v>1190</v>
      </c>
      <c r="C373" s="1256" t="s">
        <v>1183</v>
      </c>
      <c r="D373" s="1253"/>
      <c r="E373" s="1254"/>
      <c r="F373" s="1254"/>
      <c r="G373" s="1257"/>
    </row>
    <row r="374" spans="1:12" s="1250" customFormat="1" ht="30">
      <c r="A374" s="1249"/>
      <c r="B374" s="1254" t="s">
        <v>1185</v>
      </c>
      <c r="C374" s="1252" t="s">
        <v>1184</v>
      </c>
      <c r="D374" s="1253"/>
      <c r="E374" s="1254">
        <v>36</v>
      </c>
      <c r="F374" s="1254">
        <f>F333</f>
        <v>697.9</v>
      </c>
      <c r="G374" s="1257">
        <f t="shared" ref="G374:G379" si="7">ROUND(E374*F374,2)</f>
        <v>25124.400000000001</v>
      </c>
    </row>
    <row r="375" spans="1:12" s="1250" customFormat="1" ht="15">
      <c r="A375" s="1249"/>
      <c r="B375" s="1254" t="s">
        <v>1185</v>
      </c>
      <c r="C375" s="1252" t="s">
        <v>1350</v>
      </c>
      <c r="D375" s="1253"/>
      <c r="E375" s="1254">
        <v>9</v>
      </c>
      <c r="F375" s="1254">
        <f>F334</f>
        <v>293.5</v>
      </c>
      <c r="G375" s="1257">
        <f t="shared" si="7"/>
        <v>2641.5</v>
      </c>
    </row>
    <row r="376" spans="1:12" s="1250" customFormat="1" ht="15">
      <c r="A376" s="1249"/>
      <c r="B376" s="1254" t="s">
        <v>1185</v>
      </c>
      <c r="C376" s="1252" t="s">
        <v>1351</v>
      </c>
      <c r="D376" s="1253"/>
      <c r="E376" s="1254">
        <v>9</v>
      </c>
      <c r="F376" s="1254"/>
      <c r="G376" s="1257">
        <f t="shared" si="7"/>
        <v>0</v>
      </c>
    </row>
    <row r="377" spans="1:12" s="1250" customFormat="1" ht="15">
      <c r="A377" s="1249"/>
      <c r="B377" s="1254" t="s">
        <v>1185</v>
      </c>
      <c r="C377" s="1252" t="s">
        <v>1187</v>
      </c>
      <c r="D377" s="1253"/>
      <c r="E377" s="1254">
        <v>9</v>
      </c>
      <c r="F377" s="1254">
        <f>F335</f>
        <v>59</v>
      </c>
      <c r="G377" s="1257">
        <f t="shared" si="7"/>
        <v>531</v>
      </c>
    </row>
    <row r="378" spans="1:12" s="1250" customFormat="1" ht="15">
      <c r="A378" s="1249"/>
      <c r="B378" s="1254" t="s">
        <v>1185</v>
      </c>
      <c r="C378" s="1252" t="s">
        <v>1188</v>
      </c>
      <c r="D378" s="1253"/>
      <c r="E378" s="1254">
        <v>5</v>
      </c>
      <c r="F378" s="1254">
        <f>F336</f>
        <v>769</v>
      </c>
      <c r="G378" s="1257">
        <f t="shared" si="7"/>
        <v>3845</v>
      </c>
    </row>
    <row r="379" spans="1:12" s="1250" customFormat="1" ht="15">
      <c r="A379" s="1249"/>
      <c r="B379" s="1254" t="s">
        <v>1185</v>
      </c>
      <c r="C379" s="1252" t="s">
        <v>1189</v>
      </c>
      <c r="D379" s="1253"/>
      <c r="E379" s="1254">
        <v>2</v>
      </c>
      <c r="F379" s="1254">
        <f>F337</f>
        <v>727.6</v>
      </c>
      <c r="G379" s="1257">
        <f t="shared" si="7"/>
        <v>1455.2</v>
      </c>
    </row>
    <row r="380" spans="1:12" s="1250" customFormat="1" ht="15">
      <c r="A380" s="1249"/>
      <c r="B380" s="1254" t="s">
        <v>1352</v>
      </c>
      <c r="C380" s="1252" t="s">
        <v>1353</v>
      </c>
      <c r="D380" s="1253"/>
      <c r="E380" s="1254">
        <v>90</v>
      </c>
      <c r="F380" s="1254">
        <v>55</v>
      </c>
      <c r="G380" s="1257">
        <f>F380*E380</f>
        <v>4950</v>
      </c>
    </row>
    <row r="381" spans="1:12" s="1250" customFormat="1" ht="15">
      <c r="A381" s="1249"/>
      <c r="B381" s="1254"/>
      <c r="C381" s="1252" t="s">
        <v>106</v>
      </c>
      <c r="D381" s="1253"/>
      <c r="E381" s="1254"/>
      <c r="F381" s="1254"/>
      <c r="G381" s="1259">
        <f>SUM(G374:G380)</f>
        <v>38547.1</v>
      </c>
      <c r="J381" s="1250">
        <f>75*350</f>
        <v>26250</v>
      </c>
    </row>
    <row r="382" spans="1:12" s="1250" customFormat="1" ht="15">
      <c r="A382" s="1249"/>
      <c r="B382" s="1254" t="s">
        <v>1354</v>
      </c>
      <c r="C382" s="1256" t="s">
        <v>1191</v>
      </c>
      <c r="D382" s="1253"/>
      <c r="E382" s="1254"/>
      <c r="F382" s="1254"/>
      <c r="G382" s="1257"/>
      <c r="J382" s="1250">
        <f>+J381*0.5%</f>
        <v>131.25</v>
      </c>
      <c r="K382" s="1250">
        <v>122</v>
      </c>
      <c r="L382" s="1250">
        <f>K382/J382</f>
        <v>0.92952380952380953</v>
      </c>
    </row>
    <row r="383" spans="1:12" s="1250" customFormat="1" ht="45">
      <c r="A383" s="1249"/>
      <c r="B383" s="1254"/>
      <c r="C383" s="1252" t="s">
        <v>1193</v>
      </c>
      <c r="D383" s="1253"/>
      <c r="E383" s="1254"/>
      <c r="F383" s="1254"/>
      <c r="G383" s="1257"/>
      <c r="J383" s="1250">
        <f>J381*0.4%</f>
        <v>105</v>
      </c>
      <c r="K383" s="1250">
        <f>J383*L382</f>
        <v>97.6</v>
      </c>
    </row>
    <row r="384" spans="1:12" s="1250" customFormat="1" ht="15">
      <c r="A384" s="1249"/>
      <c r="B384" s="1254" t="s">
        <v>109</v>
      </c>
      <c r="C384" s="1252" t="s">
        <v>1355</v>
      </c>
      <c r="D384" s="1254" t="s">
        <v>109</v>
      </c>
      <c r="E384" s="1254">
        <v>22.95</v>
      </c>
      <c r="F384" s="1260">
        <f>F341</f>
        <v>2005.5179333714736</v>
      </c>
      <c r="G384" s="1257">
        <f t="shared" ref="G384:G389" si="8">ROUND(E384*F384,2)</f>
        <v>46026.64</v>
      </c>
      <c r="H384" s="1250">
        <v>22.95</v>
      </c>
    </row>
    <row r="385" spans="1:9" s="1250" customFormat="1" ht="15">
      <c r="A385" s="1249"/>
      <c r="B385" s="1254" t="s">
        <v>109</v>
      </c>
      <c r="C385" s="1252" t="s">
        <v>1356</v>
      </c>
      <c r="D385" s="1254" t="s">
        <v>109</v>
      </c>
      <c r="E385" s="1254">
        <v>44.55</v>
      </c>
      <c r="F385" s="1260">
        <f>F342</f>
        <v>1754.5179333714736</v>
      </c>
      <c r="G385" s="1257">
        <f t="shared" si="8"/>
        <v>78163.77</v>
      </c>
      <c r="H385" s="1250">
        <v>44.55</v>
      </c>
    </row>
    <row r="386" spans="1:9" s="1250" customFormat="1" ht="30">
      <c r="A386" s="1249"/>
      <c r="B386" s="1254" t="s">
        <v>290</v>
      </c>
      <c r="C386" s="1261" t="s">
        <v>1357</v>
      </c>
      <c r="D386" s="1254" t="s">
        <v>290</v>
      </c>
      <c r="E386" s="1254">
        <f>33.75/2</f>
        <v>16.875</v>
      </c>
      <c r="F386" s="1260">
        <f>'[42]Lead Chart 24-25'!N12</f>
        <v>1812.3700655723276</v>
      </c>
      <c r="G386" s="1257">
        <f t="shared" si="8"/>
        <v>30583.74</v>
      </c>
    </row>
    <row r="387" spans="1:9" s="1250" customFormat="1" ht="15">
      <c r="A387" s="1249"/>
      <c r="B387" s="1254" t="s">
        <v>290</v>
      </c>
      <c r="C387" s="1261" t="s">
        <v>1358</v>
      </c>
      <c r="D387" s="1254" t="s">
        <v>290</v>
      </c>
      <c r="E387" s="1254">
        <f>33.75/2</f>
        <v>16.875</v>
      </c>
      <c r="F387" s="1260">
        <f>F344</f>
        <v>1447.5179333714736</v>
      </c>
      <c r="G387" s="1257">
        <f t="shared" si="8"/>
        <v>24426.87</v>
      </c>
    </row>
    <row r="388" spans="1:9" s="1250" customFormat="1" ht="15">
      <c r="A388" s="1249"/>
      <c r="B388" s="1254" t="s">
        <v>96</v>
      </c>
      <c r="C388" s="1252" t="s">
        <v>1359</v>
      </c>
      <c r="D388" s="1254" t="s">
        <v>96</v>
      </c>
      <c r="E388" s="1254">
        <v>26.25</v>
      </c>
      <c r="F388" s="1260">
        <f>F345</f>
        <v>5000</v>
      </c>
      <c r="G388" s="1257">
        <f t="shared" si="8"/>
        <v>131250</v>
      </c>
      <c r="H388" s="1262">
        <f>0.35*75</f>
        <v>26.25</v>
      </c>
    </row>
    <row r="389" spans="1:9" s="1250" customFormat="1" ht="15">
      <c r="A389" s="1249"/>
      <c r="B389" s="1254" t="s">
        <v>1203</v>
      </c>
      <c r="C389" s="1252" t="s">
        <v>1202</v>
      </c>
      <c r="D389" s="1254" t="s">
        <v>1203</v>
      </c>
      <c r="E389" s="1254">
        <v>412.5</v>
      </c>
      <c r="F389" s="1254">
        <f>F346</f>
        <v>19</v>
      </c>
      <c r="G389" s="1257">
        <f t="shared" si="8"/>
        <v>7837.5</v>
      </c>
    </row>
    <row r="390" spans="1:9" s="1250" customFormat="1" ht="45">
      <c r="A390" s="1249"/>
      <c r="B390" s="1254"/>
      <c r="C390" s="1252" t="s">
        <v>1360</v>
      </c>
      <c r="D390" s="1254"/>
      <c r="E390" s="1254"/>
      <c r="F390" s="1254"/>
      <c r="G390" s="1257"/>
      <c r="H390" s="1263" t="e">
        <f>#REF!</f>
        <v>#REF!</v>
      </c>
    </row>
    <row r="391" spans="1:9" s="1250" customFormat="1" ht="30">
      <c r="A391" s="1249"/>
      <c r="B391" s="1254" t="s">
        <v>608</v>
      </c>
      <c r="C391" s="1252" t="s">
        <v>1361</v>
      </c>
      <c r="D391" s="1254" t="s">
        <v>608</v>
      </c>
      <c r="E391" s="1254">
        <v>161.91</v>
      </c>
      <c r="F391" s="1260">
        <v>0</v>
      </c>
      <c r="G391" s="1257">
        <f t="shared" ref="G391:G399" si="9">ROUND(E391*F391,2)</f>
        <v>0</v>
      </c>
    </row>
    <row r="392" spans="1:9" s="1250" customFormat="1" ht="15">
      <c r="A392" s="1249"/>
      <c r="B392" s="1254" t="s">
        <v>96</v>
      </c>
      <c r="C392" s="1252" t="s">
        <v>1362</v>
      </c>
      <c r="D392" s="1254" t="s">
        <v>96</v>
      </c>
      <c r="E392" s="1254">
        <v>5.0000000000000001E-3</v>
      </c>
      <c r="F392" s="1264">
        <v>0</v>
      </c>
      <c r="G392" s="1257">
        <f t="shared" si="9"/>
        <v>0</v>
      </c>
    </row>
    <row r="393" spans="1:9" s="1250" customFormat="1" ht="15">
      <c r="A393" s="1249"/>
      <c r="B393" s="1254" t="s">
        <v>1363</v>
      </c>
      <c r="C393" s="1252" t="s">
        <v>1364</v>
      </c>
      <c r="D393" s="1254" t="s">
        <v>1363</v>
      </c>
      <c r="E393" s="1254">
        <v>19</v>
      </c>
      <c r="F393" s="1254">
        <v>0</v>
      </c>
      <c r="G393" s="1257">
        <f t="shared" si="9"/>
        <v>0</v>
      </c>
    </row>
    <row r="394" spans="1:9" s="1250" customFormat="1" ht="15">
      <c r="A394" s="1249"/>
      <c r="B394" s="1254" t="s">
        <v>130</v>
      </c>
      <c r="C394" s="1252" t="s">
        <v>1365</v>
      </c>
      <c r="D394" s="1254" t="s">
        <v>130</v>
      </c>
      <c r="E394" s="1254">
        <v>90</v>
      </c>
      <c r="F394" s="1254">
        <v>0</v>
      </c>
      <c r="G394" s="1257">
        <f t="shared" si="9"/>
        <v>0</v>
      </c>
    </row>
    <row r="395" spans="1:9" s="1250" customFormat="1" ht="45">
      <c r="A395" s="1249"/>
      <c r="B395" s="1254" t="s">
        <v>130</v>
      </c>
      <c r="C395" s="1252" t="s">
        <v>1366</v>
      </c>
      <c r="D395" s="1254" t="s">
        <v>130</v>
      </c>
      <c r="E395" s="1254">
        <v>90</v>
      </c>
      <c r="F395" s="1254">
        <v>0</v>
      </c>
      <c r="G395" s="1257">
        <f t="shared" si="9"/>
        <v>0</v>
      </c>
    </row>
    <row r="396" spans="1:9" s="1250" customFormat="1" ht="30">
      <c r="A396" s="1249"/>
      <c r="B396" s="1254" t="s">
        <v>588</v>
      </c>
      <c r="C396" s="1252" t="s">
        <v>1367</v>
      </c>
      <c r="D396" s="1254" t="s">
        <v>588</v>
      </c>
      <c r="E396" s="1254">
        <v>483</v>
      </c>
      <c r="F396" s="1254">
        <v>0</v>
      </c>
      <c r="G396" s="1257">
        <f t="shared" si="9"/>
        <v>0</v>
      </c>
      <c r="I396" s="1265"/>
    </row>
    <row r="397" spans="1:9" s="1250" customFormat="1" ht="15">
      <c r="A397" s="1249"/>
      <c r="B397" s="1266" t="s">
        <v>1363</v>
      </c>
      <c r="C397" s="1267" t="s">
        <v>1368</v>
      </c>
      <c r="D397" s="1266" t="s">
        <v>1363</v>
      </c>
      <c r="E397" s="1266">
        <v>97.6</v>
      </c>
      <c r="F397" s="1266">
        <v>70</v>
      </c>
      <c r="G397" s="1268">
        <f t="shared" si="9"/>
        <v>6832</v>
      </c>
    </row>
    <row r="398" spans="1:9" s="1250" customFormat="1" ht="15">
      <c r="A398" s="1269"/>
      <c r="B398" s="1254" t="s">
        <v>1214</v>
      </c>
      <c r="C398" s="1252" t="s">
        <v>1369</v>
      </c>
      <c r="D398" s="1260" t="s">
        <v>1370</v>
      </c>
      <c r="E398" s="1254">
        <v>18</v>
      </c>
      <c r="F398" s="1260">
        <f>IF([39]lead!$C$63="Y",'[39]SSR-rates'!$L$112,0)</f>
        <v>0</v>
      </c>
      <c r="G398" s="1257">
        <f t="shared" si="9"/>
        <v>0</v>
      </c>
    </row>
    <row r="399" spans="1:9" s="1250" customFormat="1" ht="15">
      <c r="A399" s="1249"/>
      <c r="B399" s="1254" t="s">
        <v>1203</v>
      </c>
      <c r="C399" s="1252" t="s">
        <v>1371</v>
      </c>
      <c r="D399" s="1254" t="s">
        <v>1203</v>
      </c>
      <c r="E399" s="1254">
        <v>3</v>
      </c>
      <c r="F399" s="1254">
        <v>650</v>
      </c>
      <c r="G399" s="1257">
        <f t="shared" si="9"/>
        <v>1950</v>
      </c>
    </row>
    <row r="400" spans="1:9" s="1250" customFormat="1" ht="15">
      <c r="A400" s="1249"/>
      <c r="B400" s="1251"/>
      <c r="C400" s="1252" t="s">
        <v>1372</v>
      </c>
      <c r="D400" s="1253"/>
      <c r="E400" s="1254"/>
      <c r="F400" s="1254"/>
      <c r="G400" s="1257"/>
    </row>
    <row r="401" spans="1:7" s="1250" customFormat="1" ht="15">
      <c r="A401" s="1249"/>
      <c r="B401" s="1251"/>
      <c r="C401" s="1252" t="s">
        <v>106</v>
      </c>
      <c r="D401" s="1253"/>
      <c r="E401" s="1254"/>
      <c r="F401" s="1254"/>
      <c r="G401" s="1259">
        <f>SUM(G384:G400)</f>
        <v>327070.52</v>
      </c>
    </row>
    <row r="402" spans="1:7" s="1250" customFormat="1" ht="15">
      <c r="A402" s="1249"/>
      <c r="B402" s="1251"/>
      <c r="C402" s="1252"/>
      <c r="D402" s="1253"/>
      <c r="E402" s="1254"/>
      <c r="F402" s="1254"/>
      <c r="G402" s="1259">
        <f>G401+G381+G372</f>
        <v>465067.62</v>
      </c>
    </row>
    <row r="403" spans="1:7" s="1250" customFormat="1" ht="15">
      <c r="A403" s="1249"/>
      <c r="B403" s="1251"/>
      <c r="C403" s="1252" t="s">
        <v>1218</v>
      </c>
      <c r="D403" s="1253"/>
      <c r="E403" s="1254" t="s">
        <v>1373</v>
      </c>
      <c r="F403" s="1254"/>
      <c r="G403" s="1259">
        <f>G402*3%</f>
        <v>13952.0286</v>
      </c>
    </row>
    <row r="404" spans="1:7" s="1250" customFormat="1" ht="15">
      <c r="A404" s="1249"/>
      <c r="B404" s="1270" t="s">
        <v>1374</v>
      </c>
      <c r="C404" s="1271"/>
      <c r="D404" s="1253"/>
      <c r="E404" s="1264" t="s">
        <v>1375</v>
      </c>
      <c r="F404" s="1254"/>
      <c r="G404" s="1257"/>
    </row>
    <row r="405" spans="1:7" s="1250" customFormat="1" ht="15">
      <c r="A405" s="1249"/>
      <c r="B405" s="1272"/>
      <c r="C405" s="1273" t="str">
        <f>"Over head charges &amp; CP  "&amp;'[39]Input Data'!$D$24*100&amp;"%  on (A) + (B)+(C)"</f>
        <v>Over head charges &amp; CP  13.615%  on (A) + (B)+(C)</v>
      </c>
      <c r="D405" s="1253"/>
      <c r="E405" s="1416">
        <f>E356</f>
        <v>0.13614999999999999</v>
      </c>
      <c r="F405" s="1254">
        <f>G402+G403</f>
        <v>479019.64860000001</v>
      </c>
      <c r="G405" s="1257">
        <f>F405*E405</f>
        <v>65218.525156889998</v>
      </c>
    </row>
    <row r="406" spans="1:7" s="1277" customFormat="1" ht="15">
      <c r="A406" s="1249"/>
      <c r="B406" s="1274" t="s">
        <v>1376</v>
      </c>
      <c r="C406" s="1275"/>
      <c r="D406" s="1275"/>
      <c r="E406" s="1264">
        <f>'[39]Input Data'!$E$24</f>
        <v>0</v>
      </c>
      <c r="F406" s="1276">
        <f>F405+G405</f>
        <v>544238.17375689</v>
      </c>
      <c r="G406" s="1257">
        <f>F406*E406</f>
        <v>0</v>
      </c>
    </row>
    <row r="407" spans="1:7" s="1250" customFormat="1" ht="15">
      <c r="A407" s="1249"/>
      <c r="B407" s="1270" t="s">
        <v>1377</v>
      </c>
      <c r="C407" s="1271"/>
      <c r="D407" s="1253"/>
      <c r="E407" s="1264" t="s">
        <v>1378</v>
      </c>
      <c r="F407" s="1254"/>
      <c r="G407" s="1259">
        <f>SUM(G402:G406)</f>
        <v>544238.17375689</v>
      </c>
    </row>
    <row r="408" spans="1:7" s="1250" customFormat="1" ht="15">
      <c r="A408" s="1249"/>
      <c r="B408" s="1278"/>
      <c r="C408" s="1271" t="s">
        <v>1379</v>
      </c>
      <c r="D408" s="1254"/>
      <c r="E408" s="1254"/>
      <c r="F408" s="1254"/>
      <c r="G408" s="1279">
        <f>SUM(G407:G407)</f>
        <v>544238.17375689</v>
      </c>
    </row>
    <row r="409" spans="1:7" s="1250" customFormat="1" ht="15">
      <c r="A409" s="1249"/>
      <c r="B409" s="1278"/>
      <c r="C409" s="1271" t="s">
        <v>553</v>
      </c>
      <c r="D409" s="1254"/>
      <c r="E409" s="1254"/>
      <c r="F409" s="1254"/>
      <c r="G409" s="1257">
        <f>ROUND(G408/75,2)</f>
        <v>7256.51</v>
      </c>
    </row>
    <row r="410" spans="1:7" s="1250" customFormat="1" ht="15">
      <c r="A410" s="1249"/>
      <c r="B410" s="1280"/>
      <c r="C410" s="1270" t="s">
        <v>1380</v>
      </c>
      <c r="D410" s="1254"/>
      <c r="E410" s="1254"/>
      <c r="F410" s="1254"/>
      <c r="G410" s="1281">
        <f>ROUND(G409,2)</f>
        <v>7256.51</v>
      </c>
    </row>
    <row r="411" spans="1:7" s="1250" customFormat="1" ht="15">
      <c r="A411" s="1249" t="s">
        <v>1381</v>
      </c>
      <c r="B411" s="1280"/>
      <c r="C411" s="1271"/>
      <c r="D411" s="1254"/>
      <c r="E411" s="1254"/>
      <c r="F411" s="1254"/>
      <c r="G411" s="1281" t="s">
        <v>1382</v>
      </c>
    </row>
    <row r="412" spans="1:7" customFormat="1" ht="2.25" customHeight="1">
      <c r="A412" s="1112"/>
      <c r="B412" s="1113"/>
      <c r="C412" s="1114"/>
      <c r="D412" s="1115"/>
      <c r="E412" s="1116"/>
      <c r="F412" s="1116"/>
      <c r="G412" s="1117"/>
    </row>
    <row r="413" spans="1:7" customFormat="1" ht="1.5" hidden="1" customHeight="1">
      <c r="A413" s="1112"/>
      <c r="B413" s="1113"/>
      <c r="C413" s="1114"/>
      <c r="D413" s="1115"/>
      <c r="E413" s="1116"/>
      <c r="F413" s="1116"/>
      <c r="G413" s="1117"/>
    </row>
    <row r="414" spans="1:7" customFormat="1" ht="15">
      <c r="A414" s="1112"/>
      <c r="B414" s="1113"/>
      <c r="C414" s="1114"/>
      <c r="D414" s="1115"/>
      <c r="E414" s="1116"/>
      <c r="F414" s="1116"/>
      <c r="G414" s="1117"/>
    </row>
    <row r="415" spans="1:7" s="750" customFormat="1" ht="10.5" customHeight="1">
      <c r="E415" s="1419"/>
    </row>
    <row r="416" spans="1:7" s="750" customFormat="1">
      <c r="B416" s="1111" t="str">
        <f>'Spec Report'!B30</f>
        <v>Asst., Engineer</v>
      </c>
      <c r="D416" s="1110" t="str">
        <f>'Spec Report'!D30</f>
        <v>Dy .Executive.Engineer</v>
      </c>
      <c r="E416" s="1419"/>
      <c r="F416" s="750" t="str">
        <f>'Spec Report'!E30</f>
        <v>Executive Engineer</v>
      </c>
    </row>
    <row r="417" spans="1:7" s="750" customFormat="1">
      <c r="B417" s="1111" t="str">
        <f>'Spec Report'!B31</f>
        <v>PR SD Amangal</v>
      </c>
      <c r="D417" s="1110" t="str">
        <f>'Spec Report'!D31</f>
        <v>PR SD  Amangal</v>
      </c>
      <c r="E417" s="1419"/>
      <c r="F417" s="750" t="str">
        <f>'Spec Report'!E31</f>
        <v>PR Div Ibrahimpatnam</v>
      </c>
    </row>
    <row r="418" spans="1:7" s="750" customFormat="1">
      <c r="E418" s="1419"/>
    </row>
    <row r="419" spans="1:7" s="750" customFormat="1">
      <c r="E419" s="1419"/>
    </row>
    <row r="420" spans="1:7" s="750" customFormat="1">
      <c r="E420" s="1419"/>
    </row>
    <row r="421" spans="1:7" s="750" customFormat="1">
      <c r="E421" s="1419"/>
    </row>
    <row r="422" spans="1:7" s="750" customFormat="1">
      <c r="E422" s="1419"/>
    </row>
    <row r="423" spans="1:7" s="750" customFormat="1">
      <c r="E423" s="1419"/>
    </row>
    <row r="424" spans="1:7" s="750" customFormat="1">
      <c r="E424" s="1419"/>
    </row>
    <row r="425" spans="1:7" s="750" customFormat="1">
      <c r="E425" s="1419"/>
    </row>
    <row r="426" spans="1:7" s="750" customFormat="1">
      <c r="E426" s="1419"/>
    </row>
    <row r="427" spans="1:7" s="750" customFormat="1">
      <c r="E427" s="1419"/>
    </row>
    <row r="428" spans="1:7" s="750" customFormat="1">
      <c r="E428" s="1419"/>
    </row>
    <row r="429" spans="1:7" s="750" customFormat="1">
      <c r="E429" s="1419"/>
    </row>
    <row r="430" spans="1:7" s="750" customFormat="1">
      <c r="E430" s="1419"/>
    </row>
    <row r="431" spans="1:7">
      <c r="A431" s="737"/>
      <c r="B431" s="737"/>
      <c r="C431" s="737"/>
      <c r="D431" s="737"/>
      <c r="E431" s="1420"/>
      <c r="F431" s="737"/>
      <c r="G431" s="737"/>
    </row>
  </sheetData>
  <mergeCells count="19">
    <mergeCell ref="B359:G359"/>
    <mergeCell ref="C317:G317"/>
    <mergeCell ref="C260:G260"/>
    <mergeCell ref="C275:G275"/>
    <mergeCell ref="C111:G111"/>
    <mergeCell ref="C133:G133"/>
    <mergeCell ref="C150:G150"/>
    <mergeCell ref="C122:G122"/>
    <mergeCell ref="C40:G40"/>
    <mergeCell ref="C143:G143"/>
    <mergeCell ref="C147:G147"/>
    <mergeCell ref="A1:G1"/>
    <mergeCell ref="A2:G2"/>
    <mergeCell ref="A3:G3"/>
    <mergeCell ref="C68:D68"/>
    <mergeCell ref="C69:D69"/>
    <mergeCell ref="C39:G39"/>
    <mergeCell ref="C6:G6"/>
    <mergeCell ref="C72:G72"/>
  </mergeCells>
  <phoneticPr fontId="9" type="noConversion"/>
  <printOptions horizontalCentered="1" gridLines="1"/>
  <pageMargins left="0.62992125984251968" right="0.62992125984251968" top="0.39370078740157483" bottom="0.59055118110236227" header="0.23622047244094491" footer="0.15748031496062992"/>
  <pageSetup paperSize="9" scale="76" fitToHeight="8" orientation="portrait" r:id="rId1"/>
  <headerFooter alignWithMargins="0">
    <oddFooter>&amp;CPage &amp;P</oddFooter>
  </headerFooter>
</worksheet>
</file>

<file path=xl/worksheets/sheet26.xml><?xml version="1.0" encoding="utf-8"?>
<worksheet xmlns="http://schemas.openxmlformats.org/spreadsheetml/2006/main" xmlns:r="http://schemas.openxmlformats.org/officeDocument/2006/relationships">
  <dimension ref="A1:I81"/>
  <sheetViews>
    <sheetView view="pageBreakPreview" zoomScale="85" zoomScaleNormal="85" zoomScaleSheetLayoutView="85" workbookViewId="0">
      <pane ySplit="5" topLeftCell="A6" activePane="bottomLeft" state="frozen"/>
      <selection pane="bottomLeft" activeCell="C56" sqref="C56"/>
    </sheetView>
  </sheetViews>
  <sheetFormatPr defaultColWidth="13.85546875" defaultRowHeight="15"/>
  <cols>
    <col min="1" max="1" width="8.7109375" style="915" customWidth="1"/>
    <col min="2" max="2" width="5.28515625" style="916" customWidth="1"/>
    <col min="3" max="3" width="40.28515625" style="914" customWidth="1"/>
    <col min="4" max="4" width="5.28515625" style="917" customWidth="1"/>
    <col min="5" max="5" width="10.5703125" style="918" customWidth="1"/>
    <col min="6" max="6" width="10.85546875" style="919" customWidth="1"/>
    <col min="7" max="7" width="11.7109375" style="919" customWidth="1"/>
    <col min="8" max="8" width="13.85546875" style="907"/>
    <col min="9" max="9" width="13.85546875" style="920"/>
    <col min="10" max="16384" width="13.85546875" style="907"/>
  </cols>
  <sheetData>
    <row r="1" spans="1:9" ht="12.75" customHeight="1">
      <c r="A1" s="1648" t="s">
        <v>173</v>
      </c>
      <c r="B1" s="1648"/>
      <c r="C1" s="1648"/>
      <c r="D1" s="1648"/>
      <c r="E1" s="1648"/>
      <c r="F1" s="1648"/>
      <c r="G1" s="1648"/>
      <c r="H1" s="1649"/>
      <c r="I1" s="1649"/>
    </row>
    <row r="2" spans="1:9" ht="63.75" customHeight="1">
      <c r="A2" s="1650" t="str">
        <f>'Final Estimate'!A2:K2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B2" s="1650"/>
      <c r="C2" s="1650"/>
      <c r="D2" s="1650"/>
      <c r="E2" s="1650"/>
      <c r="F2" s="1650"/>
      <c r="G2" s="1650"/>
      <c r="H2" s="1649"/>
      <c r="I2" s="1649"/>
    </row>
    <row r="3" spans="1:9" ht="18" customHeight="1">
      <c r="A3" s="1651" t="s">
        <v>1117</v>
      </c>
      <c r="B3" s="1651"/>
      <c r="C3" s="1651"/>
      <c r="D3" s="1651"/>
      <c r="E3" s="1651"/>
      <c r="F3" s="1651"/>
      <c r="G3" s="1651"/>
      <c r="H3" s="1649"/>
      <c r="I3" s="1649"/>
    </row>
    <row r="4" spans="1:9" s="911" customFormat="1" ht="22.5" customHeight="1">
      <c r="A4" s="982" t="s">
        <v>45</v>
      </c>
      <c r="B4" s="983" t="s">
        <v>46</v>
      </c>
      <c r="C4" s="982" t="s">
        <v>100</v>
      </c>
      <c r="D4" s="982" t="s">
        <v>9</v>
      </c>
      <c r="E4" s="984" t="s">
        <v>97</v>
      </c>
      <c r="F4" s="860" t="s">
        <v>47</v>
      </c>
      <c r="G4" s="860" t="s">
        <v>48</v>
      </c>
      <c r="H4" s="860" t="s">
        <v>47</v>
      </c>
      <c r="I4" s="985" t="s">
        <v>48</v>
      </c>
    </row>
    <row r="5" spans="1:9" s="912" customFormat="1" ht="11.25" customHeight="1">
      <c r="A5" s="843"/>
      <c r="B5" s="850">
        <v>1</v>
      </c>
      <c r="C5" s="850">
        <v>2</v>
      </c>
      <c r="D5" s="850">
        <v>3</v>
      </c>
      <c r="E5" s="850">
        <v>4</v>
      </c>
      <c r="F5" s="850">
        <v>5</v>
      </c>
      <c r="G5" s="850">
        <v>6</v>
      </c>
      <c r="H5" s="986">
        <v>7</v>
      </c>
      <c r="I5" s="987">
        <v>8</v>
      </c>
    </row>
    <row r="6" spans="1:9" s="912" customFormat="1" ht="86.25" customHeight="1">
      <c r="A6" s="988" t="s">
        <v>238</v>
      </c>
      <c r="B6" s="989">
        <v>16</v>
      </c>
      <c r="C6" s="990" t="s">
        <v>1257</v>
      </c>
      <c r="D6" s="991"/>
      <c r="E6" s="992"/>
      <c r="F6" s="993"/>
      <c r="G6" s="993" t="s">
        <v>429</v>
      </c>
      <c r="H6" s="993"/>
      <c r="I6" s="994" t="s">
        <v>430</v>
      </c>
    </row>
    <row r="7" spans="1:9" s="912" customFormat="1" ht="25.5" hidden="1">
      <c r="A7" s="988"/>
      <c r="B7" s="989" t="s">
        <v>291</v>
      </c>
      <c r="C7" s="995" t="s">
        <v>1162</v>
      </c>
      <c r="D7" s="991">
        <v>1</v>
      </c>
      <c r="E7" s="992">
        <v>1</v>
      </c>
      <c r="F7" s="993">
        <v>358</v>
      </c>
      <c r="G7" s="996">
        <f>ROUND(F7*E7,2)</f>
        <v>358</v>
      </c>
      <c r="H7" s="993"/>
      <c r="I7" s="997"/>
    </row>
    <row r="8" spans="1:9" s="912" customFormat="1" ht="25.5" hidden="1">
      <c r="A8" s="988"/>
      <c r="B8" s="989"/>
      <c r="C8" s="990" t="s">
        <v>1163</v>
      </c>
      <c r="D8" s="991"/>
      <c r="E8" s="992">
        <f>'Lead Chart 24-25'!N43</f>
        <v>5000</v>
      </c>
      <c r="F8" s="993">
        <v>5300</v>
      </c>
      <c r="G8" s="996">
        <f>((E8-F8)/100)*0.59%*F7</f>
        <v>-6.3365999999999998</v>
      </c>
      <c r="H8" s="993"/>
      <c r="I8" s="997">
        <f>((E8-F8)/100)*0.59%*I7</f>
        <v>0</v>
      </c>
    </row>
    <row r="9" spans="1:9" s="912" customFormat="1" ht="38.25" hidden="1">
      <c r="A9" s="988"/>
      <c r="B9" s="989"/>
      <c r="C9" s="990" t="s">
        <v>1258</v>
      </c>
      <c r="D9" s="991"/>
      <c r="E9" s="992">
        <f>'Lead Chart 24-25'!N47</f>
        <v>49000</v>
      </c>
      <c r="F9" s="993">
        <v>55000</v>
      </c>
      <c r="G9" s="996">
        <f>((E9-F9)/1000)*1%*F7</f>
        <v>-21.48</v>
      </c>
      <c r="H9" s="993"/>
      <c r="I9" s="997">
        <f>((E9-F9)/1000)*1%*I7</f>
        <v>0</v>
      </c>
    </row>
    <row r="10" spans="1:9" s="913" customFormat="1" hidden="1">
      <c r="A10" s="998"/>
      <c r="B10" s="999"/>
      <c r="C10" s="990" t="s">
        <v>237</v>
      </c>
      <c r="D10" s="1000"/>
      <c r="E10" s="992"/>
      <c r="F10" s="993" t="s">
        <v>154</v>
      </c>
      <c r="G10" s="1001">
        <f>SUM(G7:G9)</f>
        <v>330.18340000000001</v>
      </c>
      <c r="H10" s="993" t="s">
        <v>154</v>
      </c>
      <c r="I10" s="1002">
        <f>SUM(I7:I9)</f>
        <v>0</v>
      </c>
    </row>
    <row r="11" spans="1:9" s="913" customFormat="1" hidden="1">
      <c r="A11" s="998"/>
      <c r="B11" s="999"/>
      <c r="C11" s="990" t="s">
        <v>425</v>
      </c>
      <c r="D11" s="1003">
        <v>5</v>
      </c>
      <c r="E11" s="992">
        <v>1</v>
      </c>
      <c r="F11" s="993">
        <v>13.4</v>
      </c>
      <c r="G11" s="996">
        <f>ROUND(F11*E11,2)</f>
        <v>13.4</v>
      </c>
      <c r="H11" s="993"/>
      <c r="I11" s="997">
        <f>ROUND(H11*E11,2)</f>
        <v>0</v>
      </c>
    </row>
    <row r="12" spans="1:9" s="913" customFormat="1" hidden="1">
      <c r="A12" s="998"/>
      <c r="B12" s="999"/>
      <c r="C12" s="990" t="s">
        <v>426</v>
      </c>
      <c r="D12" s="1000">
        <v>70</v>
      </c>
      <c r="E12" s="992">
        <f>D12-D11</f>
        <v>65</v>
      </c>
      <c r="F12" s="993">
        <v>0.72</v>
      </c>
      <c r="G12" s="996">
        <f>ROUND(F12*E12,2)</f>
        <v>46.8</v>
      </c>
      <c r="H12" s="993"/>
      <c r="I12" s="997">
        <f>ROUND(H12*E12,2)</f>
        <v>0</v>
      </c>
    </row>
    <row r="13" spans="1:9" s="913" customFormat="1" hidden="1">
      <c r="A13" s="998"/>
      <c r="B13" s="999"/>
      <c r="C13" s="990"/>
      <c r="D13" s="1000"/>
      <c r="E13" s="992"/>
      <c r="F13" s="993"/>
      <c r="G13" s="996">
        <f>SUM(G10:G12)</f>
        <v>390.38339999999999</v>
      </c>
      <c r="H13" s="993"/>
      <c r="I13" s="997">
        <f>SUM(I10:I12)</f>
        <v>0</v>
      </c>
    </row>
    <row r="14" spans="1:9" s="913" customFormat="1" ht="15" hidden="1" customHeight="1">
      <c r="A14" s="998"/>
      <c r="B14" s="999"/>
      <c r="C14" s="990" t="s">
        <v>398</v>
      </c>
      <c r="D14" s="1000"/>
      <c r="E14" s="992">
        <f>G13</f>
        <v>390.38339999999999</v>
      </c>
      <c r="F14" s="1004">
        <f>[40]Lead!$Q$24</f>
        <v>0.13600000000000001</v>
      </c>
      <c r="G14" s="1001">
        <f>ROUND(F14*E14,2)</f>
        <v>53.09</v>
      </c>
      <c r="H14" s="1004">
        <f>[40]Lead!$Q$24</f>
        <v>0.13600000000000001</v>
      </c>
      <c r="I14" s="1002">
        <f>ROUND(H14*I13,2)</f>
        <v>0</v>
      </c>
    </row>
    <row r="15" spans="1:9" s="913" customFormat="1" hidden="1">
      <c r="A15" s="998"/>
      <c r="B15" s="989"/>
      <c r="C15" s="995" t="s">
        <v>427</v>
      </c>
      <c r="D15" s="1000"/>
      <c r="E15" s="1005"/>
      <c r="F15" s="1006" t="s">
        <v>154</v>
      </c>
      <c r="G15" s="1001">
        <f>SUM(G13:G14)</f>
        <v>443.47339999999997</v>
      </c>
      <c r="H15" s="1006" t="s">
        <v>154</v>
      </c>
      <c r="I15" s="1002">
        <f>SUM(I13:I14)</f>
        <v>0</v>
      </c>
    </row>
    <row r="16" spans="1:9" s="913" customFormat="1" hidden="1">
      <c r="A16" s="998"/>
      <c r="B16" s="989"/>
      <c r="C16" s="995"/>
      <c r="D16" s="1000"/>
      <c r="E16" s="1005"/>
      <c r="F16" s="1006"/>
      <c r="G16" s="1001"/>
      <c r="H16" s="1006"/>
      <c r="I16" s="1002"/>
    </row>
    <row r="17" spans="1:9" s="912" customFormat="1" ht="25.5" hidden="1">
      <c r="A17" s="988"/>
      <c r="B17" s="989" t="s">
        <v>291</v>
      </c>
      <c r="C17" s="995" t="s">
        <v>1164</v>
      </c>
      <c r="D17" s="991">
        <v>1</v>
      </c>
      <c r="E17" s="992">
        <v>1</v>
      </c>
      <c r="F17" s="993">
        <v>587</v>
      </c>
      <c r="G17" s="996">
        <f>ROUND(F17*E17,2)</f>
        <v>587</v>
      </c>
      <c r="H17" s="993">
        <v>1378</v>
      </c>
      <c r="I17" s="997">
        <f>H17</f>
        <v>1378</v>
      </c>
    </row>
    <row r="18" spans="1:9" s="912" customFormat="1" ht="25.5" hidden="1">
      <c r="A18" s="988"/>
      <c r="B18" s="989"/>
      <c r="C18" s="990" t="s">
        <v>1163</v>
      </c>
      <c r="D18" s="991"/>
      <c r="E18" s="992">
        <f>E8</f>
        <v>5000</v>
      </c>
      <c r="F18" s="993">
        <f>F8</f>
        <v>5300</v>
      </c>
      <c r="G18" s="996">
        <f>((E18-F18)/100)*0.59%*F17</f>
        <v>-10.389900000000001</v>
      </c>
      <c r="H18" s="993"/>
      <c r="I18" s="997">
        <f>((E18-F18)/100)*0.59%*I17</f>
        <v>-24.390599999999999</v>
      </c>
    </row>
    <row r="19" spans="1:9" s="912" customFormat="1" ht="38.25" hidden="1">
      <c r="A19" s="988"/>
      <c r="B19" s="989"/>
      <c r="C19" s="990" t="s">
        <v>1258</v>
      </c>
      <c r="D19" s="991"/>
      <c r="E19" s="992">
        <f>E9</f>
        <v>49000</v>
      </c>
      <c r="F19" s="993">
        <f>F9</f>
        <v>55000</v>
      </c>
      <c r="G19" s="996">
        <f>((E19-F19)/1000)*1%*F17</f>
        <v>-35.22</v>
      </c>
      <c r="H19" s="993"/>
      <c r="I19" s="997">
        <f>((E19-F19)/1000)*1%*I17</f>
        <v>-82.679999999999993</v>
      </c>
    </row>
    <row r="20" spans="1:9" s="913" customFormat="1" hidden="1">
      <c r="A20" s="998"/>
      <c r="B20" s="999"/>
      <c r="C20" s="990" t="s">
        <v>237</v>
      </c>
      <c r="D20" s="1000"/>
      <c r="E20" s="992"/>
      <c r="F20" s="993" t="s">
        <v>154</v>
      </c>
      <c r="G20" s="1001">
        <f>SUM(G17:G19)</f>
        <v>541.39009999999996</v>
      </c>
      <c r="H20" s="993" t="s">
        <v>154</v>
      </c>
      <c r="I20" s="1002">
        <f>SUM(I17:I19)</f>
        <v>1270.9294</v>
      </c>
    </row>
    <row r="21" spans="1:9" s="913" customFormat="1" hidden="1">
      <c r="A21" s="998"/>
      <c r="B21" s="999"/>
      <c r="C21" s="990" t="s">
        <v>425</v>
      </c>
      <c r="D21" s="1003">
        <v>5</v>
      </c>
      <c r="E21" s="992">
        <v>1</v>
      </c>
      <c r="F21" s="993">
        <v>26.77</v>
      </c>
      <c r="G21" s="996">
        <f>ROUND(F21*E21,2)</f>
        <v>26.77</v>
      </c>
      <c r="H21" s="993">
        <v>68.34</v>
      </c>
      <c r="I21" s="997">
        <f>ROUND(H21*E21,2)</f>
        <v>68.34</v>
      </c>
    </row>
    <row r="22" spans="1:9" s="913" customFormat="1" hidden="1">
      <c r="A22" s="998"/>
      <c r="B22" s="999"/>
      <c r="C22" s="990" t="s">
        <v>426</v>
      </c>
      <c r="D22" s="1000">
        <f>[40]Lead!$H$20</f>
        <v>70</v>
      </c>
      <c r="E22" s="992">
        <f>D22-D21</f>
        <v>65</v>
      </c>
      <c r="F22" s="993">
        <v>1.8</v>
      </c>
      <c r="G22" s="996">
        <f>ROUND(F22*E22,2)</f>
        <v>117</v>
      </c>
      <c r="H22" s="993">
        <v>2.16</v>
      </c>
      <c r="I22" s="997">
        <f>ROUND(H22*E22,2)</f>
        <v>140.4</v>
      </c>
    </row>
    <row r="23" spans="1:9" s="913" customFormat="1" hidden="1">
      <c r="A23" s="998"/>
      <c r="B23" s="999"/>
      <c r="C23" s="990"/>
      <c r="D23" s="1000"/>
      <c r="E23" s="992"/>
      <c r="F23" s="993"/>
      <c r="G23" s="996">
        <f>SUM(G20:G22)</f>
        <v>685.16009999999994</v>
      </c>
      <c r="H23" s="993"/>
      <c r="I23" s="997">
        <f>SUM(I20:I22)</f>
        <v>1479.6694</v>
      </c>
    </row>
    <row r="24" spans="1:9" s="913" customFormat="1" ht="15" hidden="1" customHeight="1">
      <c r="A24" s="998"/>
      <c r="B24" s="999"/>
      <c r="C24" s="990" t="s">
        <v>398</v>
      </c>
      <c r="D24" s="1000"/>
      <c r="E24" s="992">
        <f>G23</f>
        <v>685.16009999999994</v>
      </c>
      <c r="F24" s="1004">
        <f>[40]Lead!$Q$24</f>
        <v>0.13600000000000001</v>
      </c>
      <c r="G24" s="1001">
        <f>ROUND(F24*E24,2)</f>
        <v>93.18</v>
      </c>
      <c r="H24" s="1004">
        <f>[40]Lead!$Q$24</f>
        <v>0.13600000000000001</v>
      </c>
      <c r="I24" s="1002">
        <f>ROUND(H24*I23,2)</f>
        <v>201.24</v>
      </c>
    </row>
    <row r="25" spans="1:9" s="913" customFormat="1" hidden="1">
      <c r="A25" s="998"/>
      <c r="B25" s="989"/>
      <c r="C25" s="995" t="s">
        <v>427</v>
      </c>
      <c r="D25" s="1000"/>
      <c r="E25" s="1005"/>
      <c r="F25" s="1006" t="s">
        <v>154</v>
      </c>
      <c r="G25" s="1001">
        <f>SUM(G23:G24)</f>
        <v>778.34009999999989</v>
      </c>
      <c r="H25" s="1006" t="s">
        <v>154</v>
      </c>
      <c r="I25" s="1002">
        <f>SUM(I23:I24)</f>
        <v>1680.9094</v>
      </c>
    </row>
    <row r="26" spans="1:9" s="913" customFormat="1" hidden="1">
      <c r="A26" s="998"/>
      <c r="B26" s="989"/>
      <c r="C26" s="995"/>
      <c r="D26" s="1000"/>
      <c r="E26" s="1005"/>
      <c r="F26" s="1006"/>
      <c r="G26" s="1001"/>
      <c r="H26" s="1006"/>
      <c r="I26" s="1002"/>
    </row>
    <row r="27" spans="1:9" s="912" customFormat="1" hidden="1">
      <c r="A27" s="988"/>
      <c r="B27" s="989" t="s">
        <v>291</v>
      </c>
      <c r="C27" s="995" t="s">
        <v>1165</v>
      </c>
      <c r="D27" s="991">
        <v>1</v>
      </c>
      <c r="E27" s="992">
        <v>1</v>
      </c>
      <c r="F27" s="993">
        <v>753</v>
      </c>
      <c r="G27" s="996">
        <f>ROUND(F27*E27,2)</f>
        <v>753</v>
      </c>
      <c r="H27" s="993">
        <v>1794</v>
      </c>
      <c r="I27" s="997">
        <f>H27</f>
        <v>1794</v>
      </c>
    </row>
    <row r="28" spans="1:9" s="912" customFormat="1" ht="25.5" hidden="1">
      <c r="A28" s="988"/>
      <c r="B28" s="989"/>
      <c r="C28" s="990" t="s">
        <v>1163</v>
      </c>
      <c r="D28" s="991"/>
      <c r="E28" s="992">
        <f>E18</f>
        <v>5000</v>
      </c>
      <c r="F28" s="993">
        <f>F18</f>
        <v>5300</v>
      </c>
      <c r="G28" s="996">
        <f>((E28-F28)/100)*0.59%*F27</f>
        <v>-13.328100000000001</v>
      </c>
      <c r="H28" s="993"/>
      <c r="I28" s="997">
        <f>((E28-F28)/100)*0.59%*I27</f>
        <v>-31.753800000000002</v>
      </c>
    </row>
    <row r="29" spans="1:9" s="912" customFormat="1" ht="38.25" hidden="1">
      <c r="A29" s="988"/>
      <c r="B29" s="989"/>
      <c r="C29" s="990" t="s">
        <v>1258</v>
      </c>
      <c r="D29" s="991"/>
      <c r="E29" s="992">
        <f>E19</f>
        <v>49000</v>
      </c>
      <c r="F29" s="993">
        <f>F19</f>
        <v>55000</v>
      </c>
      <c r="G29" s="996">
        <f>((E29-F29)/1000)*1%*F27</f>
        <v>-45.18</v>
      </c>
      <c r="H29" s="993"/>
      <c r="I29" s="997">
        <f>((E29-F29)/1000)*1%*I27</f>
        <v>-107.64</v>
      </c>
    </row>
    <row r="30" spans="1:9" s="913" customFormat="1" hidden="1">
      <c r="A30" s="998"/>
      <c r="B30" s="999"/>
      <c r="C30" s="990" t="s">
        <v>237</v>
      </c>
      <c r="D30" s="1000"/>
      <c r="E30" s="992"/>
      <c r="F30" s="993" t="s">
        <v>154</v>
      </c>
      <c r="G30" s="1001">
        <f>SUM(G27:G29)</f>
        <v>694.4919000000001</v>
      </c>
      <c r="H30" s="993" t="s">
        <v>154</v>
      </c>
      <c r="I30" s="1002">
        <f>SUM(I27:I29)</f>
        <v>1654.6061999999999</v>
      </c>
    </row>
    <row r="31" spans="1:9" s="913" customFormat="1" hidden="1">
      <c r="A31" s="998"/>
      <c r="B31" s="999"/>
      <c r="C31" s="990" t="s">
        <v>425</v>
      </c>
      <c r="D31" s="1003">
        <v>5</v>
      </c>
      <c r="E31" s="992">
        <v>1</v>
      </c>
      <c r="F31" s="993">
        <v>31.29</v>
      </c>
      <c r="G31" s="996">
        <f>ROUND(F31*E31,2)</f>
        <v>31.29</v>
      </c>
      <c r="H31" s="993">
        <v>74.42</v>
      </c>
      <c r="I31" s="997">
        <f>ROUND(H31*E31,2)</f>
        <v>74.42</v>
      </c>
    </row>
    <row r="32" spans="1:9" s="913" customFormat="1" hidden="1">
      <c r="A32" s="998"/>
      <c r="B32" s="999"/>
      <c r="C32" s="990" t="s">
        <v>426</v>
      </c>
      <c r="D32" s="1000">
        <f>[40]Lead!$H$20</f>
        <v>70</v>
      </c>
      <c r="E32" s="992">
        <f>D32-D31</f>
        <v>65</v>
      </c>
      <c r="F32" s="993">
        <v>1.98</v>
      </c>
      <c r="G32" s="996">
        <f>ROUND(F32*E32,2)</f>
        <v>128.69999999999999</v>
      </c>
      <c r="H32" s="993">
        <v>2.5099999999999998</v>
      </c>
      <c r="I32" s="997">
        <f>ROUND(H32*E32,2)</f>
        <v>163.15</v>
      </c>
    </row>
    <row r="33" spans="1:9" s="913" customFormat="1" hidden="1">
      <c r="A33" s="998"/>
      <c r="B33" s="999"/>
      <c r="C33" s="990"/>
      <c r="D33" s="1000"/>
      <c r="E33" s="992"/>
      <c r="F33" s="993"/>
      <c r="G33" s="996">
        <f>SUM(G30:G32)</f>
        <v>854.4819</v>
      </c>
      <c r="H33" s="993"/>
      <c r="I33" s="997">
        <f>SUM(I30:I32)</f>
        <v>1892.1762000000001</v>
      </c>
    </row>
    <row r="34" spans="1:9" s="913" customFormat="1" ht="15" hidden="1" customHeight="1">
      <c r="A34" s="998"/>
      <c r="B34" s="999"/>
      <c r="C34" s="990" t="s">
        <v>398</v>
      </c>
      <c r="D34" s="1000"/>
      <c r="E34" s="992">
        <f>G33</f>
        <v>854.4819</v>
      </c>
      <c r="F34" s="1004">
        <f>[40]Lead!$Q$24</f>
        <v>0.13600000000000001</v>
      </c>
      <c r="G34" s="1001">
        <f>ROUND(F34*E34,2)</f>
        <v>116.21</v>
      </c>
      <c r="H34" s="1004">
        <f>[40]Lead!$Q$24</f>
        <v>0.13600000000000001</v>
      </c>
      <c r="I34" s="1002">
        <f>ROUND(H34*I33,2)</f>
        <v>257.33999999999997</v>
      </c>
    </row>
    <row r="35" spans="1:9" s="913" customFormat="1" hidden="1">
      <c r="A35" s="998"/>
      <c r="B35" s="989"/>
      <c r="C35" s="995" t="s">
        <v>427</v>
      </c>
      <c r="D35" s="1000"/>
      <c r="E35" s="1005"/>
      <c r="F35" s="1006" t="s">
        <v>154</v>
      </c>
      <c r="G35" s="1001">
        <f>SUM(G33:G34)</f>
        <v>970.69190000000003</v>
      </c>
      <c r="H35" s="1006" t="s">
        <v>154</v>
      </c>
      <c r="I35" s="1002">
        <f>SUM(I33:I34)</f>
        <v>2149.5162</v>
      </c>
    </row>
    <row r="36" spans="1:9" s="913" customFormat="1" hidden="1">
      <c r="A36" s="998"/>
      <c r="B36" s="989"/>
      <c r="C36" s="995"/>
      <c r="D36" s="1000"/>
      <c r="E36" s="1005"/>
      <c r="F36" s="1006"/>
      <c r="G36" s="1001"/>
      <c r="H36" s="1006"/>
      <c r="I36" s="1002"/>
    </row>
    <row r="37" spans="1:9" s="912" customFormat="1" hidden="1">
      <c r="A37" s="988"/>
      <c r="B37" s="989" t="s">
        <v>291</v>
      </c>
      <c r="C37" s="995" t="s">
        <v>1166</v>
      </c>
      <c r="D37" s="991">
        <v>1</v>
      </c>
      <c r="E37" s="992">
        <v>1</v>
      </c>
      <c r="F37" s="993">
        <v>835</v>
      </c>
      <c r="G37" s="996">
        <f>ROUND(F37*E37,2)</f>
        <v>835</v>
      </c>
      <c r="H37" s="993">
        <v>1989</v>
      </c>
      <c r="I37" s="997">
        <f>H37</f>
        <v>1989</v>
      </c>
    </row>
    <row r="38" spans="1:9" s="912" customFormat="1" ht="25.5" hidden="1">
      <c r="A38" s="988"/>
      <c r="B38" s="989"/>
      <c r="C38" s="990" t="s">
        <v>1163</v>
      </c>
      <c r="D38" s="991"/>
      <c r="E38" s="992">
        <f>E28</f>
        <v>5000</v>
      </c>
      <c r="F38" s="993">
        <f>F28</f>
        <v>5300</v>
      </c>
      <c r="G38" s="996">
        <f>((E38-F38)/100)*0.59%*F37</f>
        <v>-14.779500000000001</v>
      </c>
      <c r="H38" s="993"/>
      <c r="I38" s="997">
        <f>((E38-F38)/100)*0.59%*I37</f>
        <v>-35.205300000000001</v>
      </c>
    </row>
    <row r="39" spans="1:9" s="912" customFormat="1" ht="38.25" hidden="1">
      <c r="A39" s="988"/>
      <c r="B39" s="989"/>
      <c r="C39" s="990" t="s">
        <v>1258</v>
      </c>
      <c r="D39" s="991"/>
      <c r="E39" s="992">
        <f>E29</f>
        <v>49000</v>
      </c>
      <c r="F39" s="993">
        <f>F29</f>
        <v>55000</v>
      </c>
      <c r="G39" s="996">
        <f>((E39-F39)/1000)*1%*F37</f>
        <v>-50.1</v>
      </c>
      <c r="H39" s="993"/>
      <c r="I39" s="997">
        <f>((E39-F39)/1000)*1%*I37</f>
        <v>-119.33999999999999</v>
      </c>
    </row>
    <row r="40" spans="1:9" s="913" customFormat="1" hidden="1">
      <c r="A40" s="998"/>
      <c r="B40" s="999"/>
      <c r="C40" s="990" t="s">
        <v>237</v>
      </c>
      <c r="D40" s="1000"/>
      <c r="E40" s="992"/>
      <c r="F40" s="993" t="s">
        <v>154</v>
      </c>
      <c r="G40" s="1001">
        <f>SUM(G37:G39)</f>
        <v>770.12049999999999</v>
      </c>
      <c r="H40" s="993" t="s">
        <v>154</v>
      </c>
      <c r="I40" s="1002">
        <f>SUM(I37:I39)</f>
        <v>1834.4547</v>
      </c>
    </row>
    <row r="41" spans="1:9" s="913" customFormat="1" hidden="1">
      <c r="A41" s="998"/>
      <c r="B41" s="999"/>
      <c r="C41" s="990" t="s">
        <v>425</v>
      </c>
      <c r="D41" s="1003">
        <v>5</v>
      </c>
      <c r="E41" s="992">
        <v>1</v>
      </c>
      <c r="F41" s="993">
        <v>31.29</v>
      </c>
      <c r="G41" s="996">
        <f>ROUND(F41*E41,2)</f>
        <v>31.29</v>
      </c>
      <c r="H41" s="993">
        <v>92.17</v>
      </c>
      <c r="I41" s="997">
        <f>ROUND(H41*E41,2)</f>
        <v>92.17</v>
      </c>
    </row>
    <row r="42" spans="1:9" s="913" customFormat="1" hidden="1">
      <c r="A42" s="998"/>
      <c r="B42" s="999"/>
      <c r="C42" s="990" t="s">
        <v>426</v>
      </c>
      <c r="D42" s="1000">
        <f>[40]Lead!$H$20</f>
        <v>70</v>
      </c>
      <c r="E42" s="992">
        <f>D42-D41</f>
        <v>65</v>
      </c>
      <c r="F42" s="993">
        <v>2.33</v>
      </c>
      <c r="G42" s="996">
        <f>ROUND(F42*E42,2)</f>
        <v>151.44999999999999</v>
      </c>
      <c r="H42" s="993">
        <v>4.7</v>
      </c>
      <c r="I42" s="997">
        <f>ROUND(H42*E42,2)</f>
        <v>305.5</v>
      </c>
    </row>
    <row r="43" spans="1:9" s="913" customFormat="1" hidden="1">
      <c r="A43" s="998"/>
      <c r="B43" s="999"/>
      <c r="C43" s="990"/>
      <c r="D43" s="1000"/>
      <c r="E43" s="992"/>
      <c r="F43" s="993"/>
      <c r="G43" s="996">
        <f>SUM(G40:G42)</f>
        <v>952.8605</v>
      </c>
      <c r="H43" s="993"/>
      <c r="I43" s="997">
        <f>SUM(I40:I42)</f>
        <v>2232.1247000000003</v>
      </c>
    </row>
    <row r="44" spans="1:9" s="913" customFormat="1" ht="15" hidden="1" customHeight="1">
      <c r="A44" s="998"/>
      <c r="B44" s="999"/>
      <c r="C44" s="990" t="s">
        <v>398</v>
      </c>
      <c r="D44" s="1000"/>
      <c r="E44" s="992">
        <f>G43</f>
        <v>952.8605</v>
      </c>
      <c r="F44" s="1004">
        <f>[40]Lead!$Q$24</f>
        <v>0.13600000000000001</v>
      </c>
      <c r="G44" s="1001">
        <f>ROUND(F44*E44,2)</f>
        <v>129.59</v>
      </c>
      <c r="H44" s="1004">
        <f>[40]Lead!$Q$24</f>
        <v>0.13600000000000001</v>
      </c>
      <c r="I44" s="1002">
        <f>ROUND(H44*I43,2)</f>
        <v>303.57</v>
      </c>
    </row>
    <row r="45" spans="1:9" s="913" customFormat="1" hidden="1">
      <c r="A45" s="998"/>
      <c r="B45" s="989"/>
      <c r="C45" s="995" t="s">
        <v>427</v>
      </c>
      <c r="D45" s="1000"/>
      <c r="E45" s="1005"/>
      <c r="F45" s="1006" t="s">
        <v>154</v>
      </c>
      <c r="G45" s="1001">
        <f>SUM(G43:G44)</f>
        <v>1082.4504999999999</v>
      </c>
      <c r="H45" s="1006" t="s">
        <v>154</v>
      </c>
      <c r="I45" s="1002">
        <f>SUM(I43:I44)</f>
        <v>2535.6947000000005</v>
      </c>
    </row>
    <row r="46" spans="1:9" s="913" customFormat="1" hidden="1">
      <c r="A46" s="998"/>
      <c r="B46" s="989"/>
      <c r="C46" s="995"/>
      <c r="D46" s="1000"/>
      <c r="E46" s="1005"/>
      <c r="F46" s="1006"/>
      <c r="G46" s="1001"/>
      <c r="H46" s="1006"/>
      <c r="I46" s="1002"/>
    </row>
    <row r="47" spans="1:9" s="912" customFormat="1">
      <c r="A47" s="988"/>
      <c r="B47" s="989" t="s">
        <v>291</v>
      </c>
      <c r="C47" s="995" t="s">
        <v>76</v>
      </c>
      <c r="D47" s="991">
        <v>1</v>
      </c>
      <c r="E47" s="992">
        <v>1</v>
      </c>
      <c r="F47" s="993">
        <v>1038</v>
      </c>
      <c r="G47" s="996">
        <f>ROUND(F47*E47,2)</f>
        <v>1038</v>
      </c>
      <c r="H47" s="993">
        <v>2195</v>
      </c>
      <c r="I47" s="997">
        <f>H47</f>
        <v>2195</v>
      </c>
    </row>
    <row r="48" spans="1:9" s="912" customFormat="1" ht="25.5">
      <c r="A48" s="988"/>
      <c r="B48" s="989"/>
      <c r="C48" s="990" t="s">
        <v>1163</v>
      </c>
      <c r="D48" s="991"/>
      <c r="E48" s="992">
        <f>E38</f>
        <v>5000</v>
      </c>
      <c r="F48" s="993">
        <f>F38</f>
        <v>5300</v>
      </c>
      <c r="G48" s="996">
        <f>((E48-F48)/100)*0.59%*F47</f>
        <v>-18.372600000000002</v>
      </c>
      <c r="H48" s="993"/>
      <c r="I48" s="997">
        <f>((E48-F48)/100)*0.59%*I47</f>
        <v>-38.851500000000001</v>
      </c>
    </row>
    <row r="49" spans="1:9" s="912" customFormat="1" ht="38.25">
      <c r="A49" s="988"/>
      <c r="B49" s="989"/>
      <c r="C49" s="990" t="s">
        <v>1258</v>
      </c>
      <c r="D49" s="991"/>
      <c r="E49" s="992">
        <f>E39</f>
        <v>49000</v>
      </c>
      <c r="F49" s="993">
        <f>F39</f>
        <v>55000</v>
      </c>
      <c r="G49" s="996">
        <f>((E49-F49)/1000)*1%*F47</f>
        <v>-62.28</v>
      </c>
      <c r="H49" s="993"/>
      <c r="I49" s="997">
        <f>((E49-F49)/1000)*1%*I47</f>
        <v>-131.69999999999999</v>
      </c>
    </row>
    <row r="50" spans="1:9" s="913" customFormat="1">
      <c r="A50" s="998"/>
      <c r="B50" s="999"/>
      <c r="C50" s="990" t="s">
        <v>237</v>
      </c>
      <c r="D50" s="1000"/>
      <c r="E50" s="992"/>
      <c r="F50" s="993" t="s">
        <v>154</v>
      </c>
      <c r="G50" s="1001">
        <f>SUM(G47:G49)</f>
        <v>957.34739999999999</v>
      </c>
      <c r="H50" s="993" t="s">
        <v>154</v>
      </c>
      <c r="I50" s="1002">
        <f>SUM(I47:I49)</f>
        <v>2024.4484999999997</v>
      </c>
    </row>
    <row r="51" spans="1:9" s="913" customFormat="1">
      <c r="A51" s="998"/>
      <c r="B51" s="999"/>
      <c r="C51" s="990" t="s">
        <v>425</v>
      </c>
      <c r="D51" s="1003">
        <v>5</v>
      </c>
      <c r="E51" s="992">
        <v>1</v>
      </c>
      <c r="F51" s="993">
        <v>44.68</v>
      </c>
      <c r="G51" s="996">
        <f>ROUND(F51*E51,2)</f>
        <v>44.68</v>
      </c>
      <c r="H51" s="993">
        <v>101.06</v>
      </c>
      <c r="I51" s="997">
        <f>ROUND(H51*E51,2)</f>
        <v>101.06</v>
      </c>
    </row>
    <row r="52" spans="1:9" s="913" customFormat="1">
      <c r="A52" s="998"/>
      <c r="B52" s="999"/>
      <c r="C52" s="990" t="s">
        <v>426</v>
      </c>
      <c r="D52" s="1000">
        <f>[40]Lead!$H$20</f>
        <v>70</v>
      </c>
      <c r="E52" s="992">
        <f>D52-D51</f>
        <v>65</v>
      </c>
      <c r="F52" s="993">
        <v>2.5099999999999998</v>
      </c>
      <c r="G52" s="996">
        <f>ROUND(F52*E52,2)</f>
        <v>163.15</v>
      </c>
      <c r="H52" s="993">
        <v>4.7</v>
      </c>
      <c r="I52" s="997">
        <f>ROUND(H52*E52,2)</f>
        <v>305.5</v>
      </c>
    </row>
    <row r="53" spans="1:9" s="913" customFormat="1">
      <c r="A53" s="998"/>
      <c r="B53" s="999"/>
      <c r="C53" s="990"/>
      <c r="D53" s="1000"/>
      <c r="E53" s="992"/>
      <c r="F53" s="993"/>
      <c r="G53" s="996">
        <f>SUM(G50:G52)</f>
        <v>1165.1774</v>
      </c>
      <c r="H53" s="993"/>
      <c r="I53" s="997">
        <f>SUM(I50:I52)</f>
        <v>2431.0084999999999</v>
      </c>
    </row>
    <row r="54" spans="1:9" s="913" customFormat="1" ht="15" customHeight="1">
      <c r="A54" s="998"/>
      <c r="B54" s="999"/>
      <c r="C54" s="990" t="s">
        <v>398</v>
      </c>
      <c r="D54" s="1000"/>
      <c r="E54" s="992">
        <f>G53</f>
        <v>1165.1774</v>
      </c>
      <c r="F54" s="1004">
        <f>[40]Lead!$Q$24</f>
        <v>0.13600000000000001</v>
      </c>
      <c r="G54" s="1001">
        <f>ROUND(F54*E54,2)</f>
        <v>158.46</v>
      </c>
      <c r="H54" s="1004">
        <f>[40]Lead!$Q$24</f>
        <v>0.13600000000000001</v>
      </c>
      <c r="I54" s="1002">
        <f>ROUND(H54*I53,2)</f>
        <v>330.62</v>
      </c>
    </row>
    <row r="55" spans="1:9" s="913" customFormat="1">
      <c r="A55" s="998"/>
      <c r="B55" s="989"/>
      <c r="C55" s="995" t="s">
        <v>427</v>
      </c>
      <c r="D55" s="1000"/>
      <c r="E55" s="1005"/>
      <c r="F55" s="1006" t="s">
        <v>154</v>
      </c>
      <c r="G55" s="1001">
        <f>SUM(G53:G54)</f>
        <v>1323.6374000000001</v>
      </c>
      <c r="H55" s="1006" t="s">
        <v>154</v>
      </c>
      <c r="I55" s="1002">
        <f>SUM(I53:I54)</f>
        <v>2761.6284999999998</v>
      </c>
    </row>
    <row r="56" spans="1:9" s="913" customFormat="1">
      <c r="A56" s="998"/>
      <c r="B56" s="989"/>
      <c r="C56" s="995"/>
      <c r="D56" s="1000"/>
      <c r="E56" s="1005"/>
      <c r="F56" s="1006"/>
      <c r="G56" s="1001"/>
      <c r="H56" s="1006"/>
      <c r="I56" s="1002"/>
    </row>
    <row r="57" spans="1:9" s="912" customFormat="1" hidden="1">
      <c r="A57" s="988"/>
      <c r="B57" s="989" t="s">
        <v>292</v>
      </c>
      <c r="C57" s="995" t="s">
        <v>428</v>
      </c>
      <c r="D57" s="991">
        <v>1</v>
      </c>
      <c r="E57" s="992">
        <v>1</v>
      </c>
      <c r="F57" s="993">
        <v>1195</v>
      </c>
      <c r="G57" s="996">
        <f>ROUND(F57*E57,2)</f>
        <v>1195</v>
      </c>
      <c r="H57" s="993">
        <v>2514</v>
      </c>
      <c r="I57" s="997">
        <f>H57</f>
        <v>2514</v>
      </c>
    </row>
    <row r="58" spans="1:9" s="912" customFormat="1" ht="25.5" hidden="1">
      <c r="A58" s="988"/>
      <c r="B58" s="989"/>
      <c r="C58" s="990" t="s">
        <v>1163</v>
      </c>
      <c r="D58" s="991"/>
      <c r="E58" s="992">
        <f>E48</f>
        <v>5000</v>
      </c>
      <c r="F58" s="993">
        <f>F48</f>
        <v>5300</v>
      </c>
      <c r="G58" s="996">
        <f>((E58-F58)/100)*0.59%*F57</f>
        <v>-21.151500000000002</v>
      </c>
      <c r="H58" s="993"/>
      <c r="I58" s="997">
        <f>((E58-F58)/100)*0.59%*I57</f>
        <v>-44.497799999999998</v>
      </c>
    </row>
    <row r="59" spans="1:9" s="912" customFormat="1" ht="38.25" hidden="1">
      <c r="A59" s="988"/>
      <c r="B59" s="989"/>
      <c r="C59" s="990" t="s">
        <v>1258</v>
      </c>
      <c r="D59" s="991"/>
      <c r="E59" s="992">
        <f>E49</f>
        <v>49000</v>
      </c>
      <c r="F59" s="993">
        <f>F49</f>
        <v>55000</v>
      </c>
      <c r="G59" s="996">
        <f>((E59-F59)/1000)*1%*F57</f>
        <v>-71.7</v>
      </c>
      <c r="H59" s="993"/>
      <c r="I59" s="997">
        <f>((E59-F59)/1000)*1%*I57</f>
        <v>-150.84</v>
      </c>
    </row>
    <row r="60" spans="1:9" s="913" customFormat="1" hidden="1">
      <c r="A60" s="998"/>
      <c r="B60" s="999"/>
      <c r="C60" s="990" t="s">
        <v>237</v>
      </c>
      <c r="D60" s="1000"/>
      <c r="E60" s="992"/>
      <c r="F60" s="993" t="s">
        <v>154</v>
      </c>
      <c r="G60" s="1001">
        <f>SUM(G57:G59)</f>
        <v>1102.1485</v>
      </c>
      <c r="H60" s="993" t="s">
        <v>154</v>
      </c>
      <c r="I60" s="1002">
        <f>SUM(I57:I59)</f>
        <v>2318.6621999999998</v>
      </c>
    </row>
    <row r="61" spans="1:9" s="913" customFormat="1" hidden="1">
      <c r="A61" s="998"/>
      <c r="B61" s="999"/>
      <c r="C61" s="990" t="s">
        <v>425</v>
      </c>
      <c r="D61" s="1003">
        <v>5</v>
      </c>
      <c r="E61" s="992">
        <v>1</v>
      </c>
      <c r="F61" s="993">
        <v>49.04</v>
      </c>
      <c r="G61" s="996">
        <f>ROUND(F61*E61,2)</f>
        <v>49.04</v>
      </c>
      <c r="H61" s="993">
        <v>111.49</v>
      </c>
      <c r="I61" s="997">
        <f>ROUND(H61*E61,2)</f>
        <v>111.49</v>
      </c>
    </row>
    <row r="62" spans="1:9" s="913" customFormat="1" hidden="1">
      <c r="A62" s="998"/>
      <c r="B62" s="999"/>
      <c r="C62" s="990" t="s">
        <v>426</v>
      </c>
      <c r="D62" s="1000">
        <f>[40]Lead!$H$20</f>
        <v>70</v>
      </c>
      <c r="E62" s="992">
        <f>D62-D61</f>
        <v>65</v>
      </c>
      <c r="F62" s="993">
        <v>2.7</v>
      </c>
      <c r="G62" s="996">
        <f>ROUND(F62*E62,2)</f>
        <v>175.5</v>
      </c>
      <c r="H62" s="993">
        <v>5.0599999999999996</v>
      </c>
      <c r="I62" s="997">
        <f>ROUND(H62*E62,2)</f>
        <v>328.9</v>
      </c>
    </row>
    <row r="63" spans="1:9" s="913" customFormat="1" hidden="1">
      <c r="A63" s="998"/>
      <c r="B63" s="999"/>
      <c r="C63" s="990"/>
      <c r="D63" s="1000"/>
      <c r="E63" s="992"/>
      <c r="F63" s="993"/>
      <c r="G63" s="996">
        <f>SUM(G60:G62)</f>
        <v>1326.6885</v>
      </c>
      <c r="H63" s="993"/>
      <c r="I63" s="997">
        <f>SUM(I60:I62)</f>
        <v>2759.0521999999996</v>
      </c>
    </row>
    <row r="64" spans="1:9" s="913" customFormat="1" ht="15" hidden="1" customHeight="1">
      <c r="A64" s="998"/>
      <c r="B64" s="999"/>
      <c r="C64" s="990" t="s">
        <v>398</v>
      </c>
      <c r="D64" s="1000"/>
      <c r="E64" s="992">
        <f>G63</f>
        <v>1326.6885</v>
      </c>
      <c r="F64" s="1004">
        <f>[40]Lead!$Q$24</f>
        <v>0.13600000000000001</v>
      </c>
      <c r="G64" s="1001">
        <f>ROUND(F64*E64,2)</f>
        <v>180.43</v>
      </c>
      <c r="H64" s="1004">
        <f>[40]Lead!$Q$24</f>
        <v>0.13600000000000001</v>
      </c>
      <c r="I64" s="1002">
        <f>ROUND(H64*I63,2)</f>
        <v>375.23</v>
      </c>
    </row>
    <row r="65" spans="1:9" s="913" customFormat="1" hidden="1">
      <c r="A65" s="998" t="s">
        <v>292</v>
      </c>
      <c r="B65" s="989"/>
      <c r="C65" s="995" t="s">
        <v>427</v>
      </c>
      <c r="D65" s="1000"/>
      <c r="E65" s="1005"/>
      <c r="F65" s="1006" t="s">
        <v>154</v>
      </c>
      <c r="G65" s="1001">
        <f>SUM(G63:G64)</f>
        <v>1507.1185</v>
      </c>
      <c r="H65" s="1006" t="s">
        <v>154</v>
      </c>
      <c r="I65" s="1002">
        <f>SUM(I63:I64)</f>
        <v>3134.2821999999996</v>
      </c>
    </row>
    <row r="66" spans="1:9" s="913" customFormat="1" hidden="1">
      <c r="A66" s="998"/>
      <c r="B66" s="999"/>
      <c r="C66" s="990"/>
      <c r="D66" s="1000"/>
      <c r="E66" s="992"/>
      <c r="F66" s="993"/>
      <c r="G66" s="1001"/>
      <c r="H66" s="1007"/>
      <c r="I66" s="1008"/>
    </row>
    <row r="67" spans="1:9" s="912" customFormat="1">
      <c r="A67" s="988"/>
      <c r="B67" s="989" t="s">
        <v>292</v>
      </c>
      <c r="C67" s="995" t="s">
        <v>396</v>
      </c>
      <c r="D67" s="991">
        <v>1</v>
      </c>
      <c r="E67" s="992">
        <v>1</v>
      </c>
      <c r="F67" s="993">
        <v>1682</v>
      </c>
      <c r="G67" s="996">
        <f>ROUND(F67*E67,2)</f>
        <v>1682</v>
      </c>
      <c r="H67" s="993">
        <v>3526</v>
      </c>
      <c r="I67" s="997">
        <f>H67</f>
        <v>3526</v>
      </c>
    </row>
    <row r="68" spans="1:9" s="912" customFormat="1" ht="25.5">
      <c r="A68" s="988"/>
      <c r="B68" s="989"/>
      <c r="C68" s="990" t="s">
        <v>1163</v>
      </c>
      <c r="D68" s="991"/>
      <c r="E68" s="992">
        <f>E58</f>
        <v>5000</v>
      </c>
      <c r="F68" s="993">
        <f>F58</f>
        <v>5300</v>
      </c>
      <c r="G68" s="996">
        <f>((E68-F68)/100)*0.59%*F67</f>
        <v>-29.7714</v>
      </c>
      <c r="H68" s="993"/>
      <c r="I68" s="997">
        <f>((E68-F68)/100)*0.59%*I67</f>
        <v>-62.410200000000003</v>
      </c>
    </row>
    <row r="69" spans="1:9" s="912" customFormat="1" ht="38.25">
      <c r="A69" s="988"/>
      <c r="B69" s="989"/>
      <c r="C69" s="990" t="s">
        <v>1258</v>
      </c>
      <c r="D69" s="991"/>
      <c r="E69" s="992">
        <f>E59</f>
        <v>49000</v>
      </c>
      <c r="F69" s="993">
        <f>F59</f>
        <v>55000</v>
      </c>
      <c r="G69" s="996">
        <f>((E69-F69)/1000)*1%*F67</f>
        <v>-100.92</v>
      </c>
      <c r="H69" s="993"/>
      <c r="I69" s="997">
        <f>((E69-F69)/1000)*1%*I67</f>
        <v>-211.56</v>
      </c>
    </row>
    <row r="70" spans="1:9" s="913" customFormat="1">
      <c r="A70" s="998"/>
      <c r="B70" s="999"/>
      <c r="C70" s="990" t="s">
        <v>237</v>
      </c>
      <c r="D70" s="1000"/>
      <c r="E70" s="992"/>
      <c r="F70" s="993" t="s">
        <v>154</v>
      </c>
      <c r="G70" s="1001">
        <f>SUM(G67:G69)</f>
        <v>1551.3085999999998</v>
      </c>
      <c r="H70" s="993" t="s">
        <v>154</v>
      </c>
      <c r="I70" s="1002">
        <f>SUM(I67:I69)</f>
        <v>3252.0298000000003</v>
      </c>
    </row>
    <row r="71" spans="1:9" s="913" customFormat="1">
      <c r="A71" s="998"/>
      <c r="B71" s="999"/>
      <c r="C71" s="990" t="s">
        <v>425</v>
      </c>
      <c r="D71" s="1003">
        <v>5</v>
      </c>
      <c r="E71" s="992">
        <v>1</v>
      </c>
      <c r="F71" s="993">
        <v>63.98</v>
      </c>
      <c r="G71" s="996">
        <f>ROUND(F71*E71,2)</f>
        <v>63.98</v>
      </c>
      <c r="H71" s="993">
        <v>150.24</v>
      </c>
      <c r="I71" s="997">
        <f>ROUND(H71*E71,2)</f>
        <v>150.24</v>
      </c>
    </row>
    <row r="72" spans="1:9" s="913" customFormat="1">
      <c r="A72" s="998"/>
      <c r="B72" s="999"/>
      <c r="C72" s="990" t="s">
        <v>426</v>
      </c>
      <c r="D72" s="1000">
        <f>[40]Lead!$H$20</f>
        <v>70</v>
      </c>
      <c r="E72" s="992">
        <f>D72-D71</f>
        <v>65</v>
      </c>
      <c r="F72" s="993">
        <v>4.7</v>
      </c>
      <c r="G72" s="996">
        <f>ROUND(F72*E72,2)</f>
        <v>305.5</v>
      </c>
      <c r="H72" s="993">
        <v>7.2</v>
      </c>
      <c r="I72" s="997">
        <f>ROUND(H72*E72,2)</f>
        <v>468</v>
      </c>
    </row>
    <row r="73" spans="1:9" s="913" customFormat="1">
      <c r="A73" s="998"/>
      <c r="B73" s="999"/>
      <c r="C73" s="990"/>
      <c r="D73" s="1000"/>
      <c r="E73" s="992"/>
      <c r="F73" s="993"/>
      <c r="G73" s="996">
        <f>SUM(G70:G72)</f>
        <v>1920.7885999999999</v>
      </c>
      <c r="H73" s="993"/>
      <c r="I73" s="997">
        <f>SUM(I70:I72)</f>
        <v>3870.2698</v>
      </c>
    </row>
    <row r="74" spans="1:9" s="913" customFormat="1" ht="25.5">
      <c r="A74" s="998"/>
      <c r="B74" s="999"/>
      <c r="C74" s="990" t="s">
        <v>398</v>
      </c>
      <c r="D74" s="1000"/>
      <c r="E74" s="992">
        <f>G73</f>
        <v>1920.7885999999999</v>
      </c>
      <c r="F74" s="1004">
        <f>[40]Lead!$Q$24</f>
        <v>0.13600000000000001</v>
      </c>
      <c r="G74" s="1001">
        <f>ROUND(F74*E74,2)</f>
        <v>261.23</v>
      </c>
      <c r="H74" s="1004">
        <f>[40]Lead!$Q$24</f>
        <v>0.13600000000000001</v>
      </c>
      <c r="I74" s="1002">
        <f>ROUND(H74*I73,2)</f>
        <v>526.36</v>
      </c>
    </row>
    <row r="75" spans="1:9" s="913" customFormat="1">
      <c r="A75" s="998"/>
      <c r="B75" s="989"/>
      <c r="C75" s="995" t="s">
        <v>427</v>
      </c>
      <c r="D75" s="1000"/>
      <c r="E75" s="1005"/>
      <c r="F75" s="1006" t="s">
        <v>154</v>
      </c>
      <c r="G75" s="1001">
        <f>SUM(G73:G74)</f>
        <v>2182.0185999999999</v>
      </c>
      <c r="H75" s="1006" t="s">
        <v>154</v>
      </c>
      <c r="I75" s="1002">
        <f>SUM(I73:I74)</f>
        <v>4396.6297999999997</v>
      </c>
    </row>
    <row r="76" spans="1:9" s="913" customFormat="1">
      <c r="A76" s="998"/>
      <c r="B76" s="989"/>
      <c r="C76" s="995"/>
      <c r="D76" s="1000"/>
      <c r="E76" s="1005"/>
      <c r="F76" s="1006"/>
      <c r="G76" s="1001"/>
      <c r="H76" s="1006"/>
      <c r="I76" s="1002"/>
    </row>
    <row r="77" spans="1:9" s="913" customFormat="1">
      <c r="A77" s="998"/>
      <c r="B77" s="999"/>
      <c r="C77" s="990"/>
      <c r="D77" s="1000"/>
      <c r="E77" s="992"/>
      <c r="F77" s="993"/>
      <c r="G77" s="1001"/>
      <c r="H77" s="1006"/>
      <c r="I77" s="1002"/>
    </row>
    <row r="78" spans="1:9" s="913" customFormat="1">
      <c r="A78" s="1009"/>
      <c r="B78" s="1010"/>
      <c r="C78" s="1011"/>
      <c r="D78" s="1012"/>
      <c r="E78" s="1013"/>
      <c r="F78" s="1014"/>
      <c r="G78" s="1015"/>
      <c r="H78" s="1015"/>
      <c r="I78" s="1016"/>
    </row>
    <row r="79" spans="1:9" s="913" customFormat="1">
      <c r="A79" s="1009"/>
      <c r="B79" s="1010"/>
      <c r="C79" s="1011"/>
      <c r="D79" s="1012"/>
      <c r="E79" s="1013"/>
      <c r="F79" s="1014"/>
      <c r="G79" s="1015"/>
      <c r="H79" s="1015"/>
      <c r="I79" s="1016"/>
    </row>
    <row r="80" spans="1:9" ht="17.25" customHeight="1">
      <c r="A80" s="1017"/>
      <c r="B80" s="1018"/>
      <c r="C80" s="1011" t="str">
        <f>'Spec Report'!B30</f>
        <v>Asst., Engineer</v>
      </c>
      <c r="D80" s="1019"/>
      <c r="E80" s="1020"/>
      <c r="F80" s="1021" t="str">
        <f>'Spec Report'!D30</f>
        <v>Dy .Executive.Engineer</v>
      </c>
      <c r="G80" s="1022"/>
      <c r="H80" s="1023" t="str">
        <f>'Spec Report'!E30</f>
        <v>Executive Engineer</v>
      </c>
      <c r="I80" s="1024"/>
    </row>
    <row r="81" spans="1:9" ht="17.25" customHeight="1">
      <c r="A81" s="1017"/>
      <c r="B81" s="1018"/>
      <c r="C81" s="1011" t="str">
        <f>'Spec Report'!B31</f>
        <v>PR SD Amangal</v>
      </c>
      <c r="D81" s="1019"/>
      <c r="E81" s="1020"/>
      <c r="F81" s="1021" t="str">
        <f>'Spec Report'!D31</f>
        <v>PR SD  Amangal</v>
      </c>
      <c r="G81" s="1022"/>
      <c r="H81" s="1023" t="str">
        <f>'Spec Report'!E31</f>
        <v>PR Div Ibrahimpatnam</v>
      </c>
      <c r="I81" s="1024"/>
    </row>
  </sheetData>
  <mergeCells count="3">
    <mergeCell ref="A1:I1"/>
    <mergeCell ref="A2:I2"/>
    <mergeCell ref="A3:I3"/>
  </mergeCells>
  <printOptions horizontalCentered="1"/>
  <pageMargins left="0.23622047244094491" right="0.11811023622047245" top="0.27559055118110237" bottom="0.39370078740157483" header="0.23622047244094491" footer="0.15748031496062992"/>
  <pageSetup paperSize="9" scale="84" orientation="portrait" r:id="rId1"/>
  <headerFooter alignWithMargins="0">
    <oddFooter>&amp;CKarthikeya Associates</oddFooter>
  </headerFooter>
</worksheet>
</file>

<file path=xl/worksheets/sheet27.xml><?xml version="1.0" encoding="utf-8"?>
<worksheet xmlns="http://schemas.openxmlformats.org/spreadsheetml/2006/main" xmlns:r="http://schemas.openxmlformats.org/officeDocument/2006/relationships">
  <dimension ref="A1:N16"/>
  <sheetViews>
    <sheetView topLeftCell="B1" workbookViewId="0">
      <selection activeCell="I14" sqref="I14"/>
    </sheetView>
  </sheetViews>
  <sheetFormatPr defaultRowHeight="12.75"/>
  <cols>
    <col min="2" max="2" width="9.28515625" bestFit="1" customWidth="1"/>
    <col min="3" max="3" width="11.85546875" customWidth="1"/>
    <col min="4" max="5" width="10.42578125" customWidth="1"/>
    <col min="6" max="6" width="9.28515625" bestFit="1" customWidth="1"/>
    <col min="7" max="7" width="10.140625" customWidth="1"/>
    <col min="8" max="8" width="10.42578125" customWidth="1"/>
    <col min="9" max="9" width="12.28515625" customWidth="1"/>
    <col min="10" max="10" width="12.28515625" bestFit="1" customWidth="1"/>
    <col min="11" max="11" width="13.85546875" customWidth="1"/>
    <col min="12" max="12" width="10.140625" customWidth="1"/>
    <col min="13" max="13" width="9.28515625" bestFit="1" customWidth="1"/>
    <col min="14" max="14" width="10.140625" customWidth="1"/>
  </cols>
  <sheetData>
    <row r="1" spans="1:14">
      <c r="A1" s="1652"/>
      <c r="B1" s="1652"/>
      <c r="C1" s="1652"/>
      <c r="D1" s="1652"/>
      <c r="E1" s="1652"/>
      <c r="F1" s="1652"/>
    </row>
    <row r="2" spans="1:14">
      <c r="G2" s="545"/>
    </row>
    <row r="3" spans="1:14">
      <c r="A3" s="606"/>
      <c r="B3" s="606"/>
      <c r="C3" s="606"/>
      <c r="D3" s="606"/>
      <c r="E3" s="606"/>
      <c r="F3" s="606"/>
      <c r="G3" s="606"/>
      <c r="H3" s="606"/>
      <c r="I3" s="606"/>
      <c r="J3" s="606"/>
      <c r="K3" s="606"/>
      <c r="L3" s="606"/>
      <c r="M3" s="606"/>
      <c r="N3" s="606"/>
    </row>
    <row r="4" spans="1:14" ht="15.75">
      <c r="A4" s="606"/>
      <c r="B4" s="800" t="s">
        <v>828</v>
      </c>
      <c r="C4" s="800"/>
      <c r="D4" s="800"/>
      <c r="E4" s="800"/>
      <c r="F4" s="800"/>
      <c r="G4" s="800"/>
      <c r="H4" s="800"/>
      <c r="I4" s="800"/>
      <c r="J4" s="800"/>
      <c r="K4" s="800"/>
      <c r="L4" s="800" t="s">
        <v>1087</v>
      </c>
      <c r="M4" s="800"/>
      <c r="N4" s="800"/>
    </row>
    <row r="5" spans="1:14" ht="15.75">
      <c r="A5" s="606"/>
      <c r="B5" s="800" t="s">
        <v>1072</v>
      </c>
      <c r="C5" s="800"/>
      <c r="D5" s="800"/>
      <c r="E5" s="800"/>
      <c r="F5" s="800"/>
      <c r="G5" s="800"/>
      <c r="H5" s="800"/>
      <c r="I5" s="800"/>
      <c r="J5" s="800"/>
      <c r="K5" s="800"/>
      <c r="L5" s="800"/>
      <c r="M5" s="800"/>
      <c r="N5" s="800"/>
    </row>
    <row r="6" spans="1:14" ht="94.5">
      <c r="A6" s="607"/>
      <c r="B6" s="801" t="s">
        <v>829</v>
      </c>
      <c r="C6" s="801" t="s">
        <v>830</v>
      </c>
      <c r="D6" s="1653" t="s">
        <v>831</v>
      </c>
      <c r="E6" s="1654"/>
      <c r="F6" s="801" t="s">
        <v>832</v>
      </c>
      <c r="G6" s="801" t="s">
        <v>833</v>
      </c>
      <c r="H6" s="801" t="s">
        <v>834</v>
      </c>
      <c r="I6" s="801" t="s">
        <v>835</v>
      </c>
      <c r="J6" s="801" t="s">
        <v>836</v>
      </c>
      <c r="K6" s="801" t="s">
        <v>837</v>
      </c>
      <c r="L6" s="801" t="s">
        <v>838</v>
      </c>
      <c r="M6" s="801" t="s">
        <v>839</v>
      </c>
      <c r="N6" s="801" t="s">
        <v>840</v>
      </c>
    </row>
    <row r="7" spans="1:14" ht="15.75">
      <c r="A7" s="606"/>
      <c r="B7" s="532"/>
      <c r="C7" s="532"/>
      <c r="D7" s="532" t="s">
        <v>841</v>
      </c>
      <c r="E7" s="532" t="s">
        <v>842</v>
      </c>
      <c r="F7" s="532"/>
      <c r="G7" s="532"/>
      <c r="H7" s="532"/>
      <c r="I7" s="532"/>
      <c r="J7" s="532"/>
      <c r="K7" s="532"/>
      <c r="L7" s="532"/>
      <c r="M7" s="532"/>
      <c r="N7" s="532"/>
    </row>
    <row r="8" spans="1:14" ht="20.25" customHeight="1">
      <c r="A8" s="606"/>
      <c r="B8" s="532">
        <v>300</v>
      </c>
      <c r="C8" s="733">
        <v>50</v>
      </c>
      <c r="D8" s="733">
        <v>0.78</v>
      </c>
      <c r="E8" s="733">
        <v>1.53</v>
      </c>
      <c r="F8" s="733">
        <f>PI()*(C8/1000)*(B8+C8)/1000</f>
        <v>5.4977871437821381E-2</v>
      </c>
      <c r="G8" s="733">
        <f>D8+E8</f>
        <v>2.31</v>
      </c>
      <c r="H8" s="733">
        <v>5200</v>
      </c>
      <c r="I8" s="733">
        <f>'Lead Chart 24-25'!N43</f>
        <v>5000</v>
      </c>
      <c r="J8" s="734">
        <v>60000</v>
      </c>
      <c r="K8" s="733">
        <f>'Lead Chart 24-25'!N50</f>
        <v>55000</v>
      </c>
      <c r="L8" s="733">
        <f t="shared" ref="L8:L9" si="0">ROUND(400*F8*(I8-H8)/1000,2)</f>
        <v>-4.4000000000000004</v>
      </c>
      <c r="M8" s="733">
        <f t="shared" ref="M8:M9" si="1">ROUND(G8*(K8-J8)/1000,2)</f>
        <v>-11.55</v>
      </c>
      <c r="N8" s="733">
        <f t="shared" ref="N8:N9" si="2">M8+L8</f>
        <v>-15.950000000000001</v>
      </c>
    </row>
    <row r="9" spans="1:14" ht="20.25" customHeight="1">
      <c r="A9" s="606"/>
      <c r="B9" s="532">
        <v>450</v>
      </c>
      <c r="C9" s="733">
        <v>65</v>
      </c>
      <c r="D9" s="733">
        <v>0.78</v>
      </c>
      <c r="E9" s="733">
        <v>1.9</v>
      </c>
      <c r="F9" s="733">
        <f t="shared" ref="F9" si="3">PI()*(C9/1000)*(B9+C9)/1000</f>
        <v>0.10516481407891833</v>
      </c>
      <c r="G9" s="733">
        <f t="shared" ref="G9" si="4">D9+E9</f>
        <v>2.6799999999999997</v>
      </c>
      <c r="H9" s="733">
        <f t="shared" ref="H9:J9" si="5">H8</f>
        <v>5200</v>
      </c>
      <c r="I9" s="733">
        <f>I8</f>
        <v>5000</v>
      </c>
      <c r="J9" s="734">
        <f t="shared" si="5"/>
        <v>60000</v>
      </c>
      <c r="K9" s="733">
        <f>K8</f>
        <v>55000</v>
      </c>
      <c r="L9" s="733">
        <f t="shared" si="0"/>
        <v>-8.41</v>
      </c>
      <c r="M9" s="733">
        <f t="shared" si="1"/>
        <v>-13.4</v>
      </c>
      <c r="N9" s="733">
        <f t="shared" si="2"/>
        <v>-21.810000000000002</v>
      </c>
    </row>
    <row r="10" spans="1:14" ht="15.75">
      <c r="A10" s="606"/>
      <c r="B10" s="800" t="s">
        <v>843</v>
      </c>
      <c r="C10" s="800"/>
      <c r="D10" s="800"/>
      <c r="E10" s="800"/>
      <c r="F10" s="800"/>
      <c r="G10" s="800"/>
      <c r="H10" s="800"/>
      <c r="I10" s="800"/>
      <c r="J10" s="800"/>
      <c r="K10" s="800"/>
      <c r="L10" s="800"/>
      <c r="M10" s="800"/>
      <c r="N10" s="800"/>
    </row>
    <row r="11" spans="1:14" ht="15.75">
      <c r="A11" s="606"/>
      <c r="B11" s="800" t="s">
        <v>844</v>
      </c>
      <c r="C11" s="800"/>
      <c r="D11" s="800"/>
      <c r="E11" s="800"/>
      <c r="F11" s="800"/>
      <c r="G11" s="800"/>
      <c r="H11" s="800"/>
      <c r="I11" s="800"/>
      <c r="J11" s="800"/>
      <c r="K11" s="800"/>
      <c r="L11" s="800"/>
      <c r="M11" s="800"/>
      <c r="N11" s="800"/>
    </row>
    <row r="12" spans="1:14" ht="47.25">
      <c r="A12" s="606"/>
      <c r="B12" s="800"/>
      <c r="C12" s="800"/>
      <c r="D12" s="801" t="s">
        <v>845</v>
      </c>
      <c r="E12" s="529" t="s">
        <v>846</v>
      </c>
      <c r="F12" s="529" t="s">
        <v>847</v>
      </c>
      <c r="G12" s="801" t="s">
        <v>848</v>
      </c>
      <c r="H12" s="801" t="s">
        <v>849</v>
      </c>
      <c r="I12" s="529" t="s">
        <v>850</v>
      </c>
      <c r="J12" s="800"/>
      <c r="K12" s="802" t="s">
        <v>1031</v>
      </c>
      <c r="L12" s="803">
        <f>L13</f>
        <v>0.13614999999999999</v>
      </c>
      <c r="M12" s="800"/>
      <c r="N12" s="800"/>
    </row>
    <row r="13" spans="1:14" ht="18.75" customHeight="1">
      <c r="A13" s="606"/>
      <c r="B13" s="800"/>
      <c r="C13" s="800"/>
      <c r="D13" s="532">
        <v>300</v>
      </c>
      <c r="E13" s="733">
        <v>1390</v>
      </c>
      <c r="F13" s="733">
        <f>N8</f>
        <v>-15.950000000000001</v>
      </c>
      <c r="G13" s="853">
        <f>(66.35+(15*2.1))</f>
        <v>97.85</v>
      </c>
      <c r="H13" s="734">
        <f>'NP 3 300'!H62</f>
        <v>203.35000000000002</v>
      </c>
      <c r="I13" s="734">
        <f t="shared" ref="I13:I14" si="6">E13+F13+G13+H13</f>
        <v>1675.25</v>
      </c>
      <c r="J13" s="800"/>
      <c r="K13" s="800"/>
      <c r="L13" s="803">
        <f>'Lead 20-21'!J50</f>
        <v>0.13614999999999999</v>
      </c>
      <c r="M13" s="800"/>
      <c r="N13" s="800"/>
    </row>
    <row r="14" spans="1:14" ht="18.75" customHeight="1">
      <c r="A14" s="606"/>
      <c r="B14" s="800"/>
      <c r="C14" s="800"/>
      <c r="D14" s="532">
        <v>450</v>
      </c>
      <c r="E14" s="733">
        <v>2215</v>
      </c>
      <c r="F14" s="733">
        <f>N9</f>
        <v>-21.810000000000002</v>
      </c>
      <c r="G14" s="853">
        <f>(98.12+(15*4.56))</f>
        <v>166.51999999999998</v>
      </c>
      <c r="H14" s="734">
        <f>'NP 3 450 mm dia'!H62</f>
        <v>280.25</v>
      </c>
      <c r="I14" s="734">
        <f t="shared" si="6"/>
        <v>2639.96</v>
      </c>
      <c r="J14" s="800"/>
      <c r="K14" s="800"/>
      <c r="L14" s="800"/>
      <c r="M14" s="800"/>
      <c r="N14" s="800"/>
    </row>
    <row r="15" spans="1:14" ht="15.75">
      <c r="B15" s="800"/>
      <c r="C15" s="800"/>
      <c r="D15" s="800"/>
      <c r="E15" s="800"/>
      <c r="F15" s="800"/>
      <c r="G15" s="800"/>
      <c r="H15" s="800"/>
      <c r="I15" s="800"/>
      <c r="J15" s="800"/>
      <c r="K15" s="800"/>
      <c r="L15" s="800"/>
      <c r="M15" s="800"/>
      <c r="N15" s="800"/>
    </row>
    <row r="16" spans="1:14" ht="15.75">
      <c r="B16" s="800"/>
      <c r="C16" s="800"/>
      <c r="D16" s="800"/>
      <c r="E16" s="800"/>
      <c r="F16" s="800"/>
      <c r="G16" s="800"/>
      <c r="H16" s="800"/>
      <c r="I16" s="800"/>
      <c r="J16" s="800"/>
      <c r="K16" s="800"/>
      <c r="L16" s="800"/>
      <c r="M16" s="800"/>
      <c r="N16" s="800"/>
    </row>
  </sheetData>
  <mergeCells count="2">
    <mergeCell ref="A1:F1"/>
    <mergeCell ref="D6:E6"/>
  </mergeCells>
  <printOptions horizontalCentered="1"/>
  <pageMargins left="0.70866141732283505" right="0.70866141732283505" top="0.74803149606299202" bottom="0.74803149606299202" header="0.31496062992126" footer="0.31496062992126"/>
  <pageSetup paperSize="5" orientation="landscape" r:id="rId1"/>
</worksheet>
</file>

<file path=xl/worksheets/sheet28.xml><?xml version="1.0" encoding="utf-8"?>
<worksheet xmlns="http://schemas.openxmlformats.org/spreadsheetml/2006/main" xmlns:r="http://schemas.openxmlformats.org/officeDocument/2006/relationships">
  <dimension ref="A1:L105"/>
  <sheetViews>
    <sheetView view="pageBreakPreview" zoomScale="115" zoomScaleNormal="130" zoomScaleSheetLayoutView="115" workbookViewId="0">
      <selection activeCell="C42" sqref="C42"/>
    </sheetView>
  </sheetViews>
  <sheetFormatPr defaultColWidth="8.85546875" defaultRowHeight="12.75"/>
  <cols>
    <col min="1" max="1" width="8.85546875" style="1033"/>
    <col min="2" max="2" width="33.28515625" style="1033" customWidth="1"/>
    <col min="3" max="3" width="8.140625" style="1033" bestFit="1" customWidth="1"/>
    <col min="4" max="4" width="8.42578125" style="1033" bestFit="1" customWidth="1"/>
    <col min="5" max="5" width="11.140625" style="1033" bestFit="1" customWidth="1"/>
    <col min="6" max="6" width="8.42578125" style="1033" bestFit="1" customWidth="1"/>
    <col min="7" max="7" width="11.28515625" style="1033" bestFit="1" customWidth="1"/>
    <col min="8" max="16384" width="8.85546875" style="1033"/>
  </cols>
  <sheetData>
    <row r="1" spans="1:10" ht="14.25">
      <c r="A1" s="1683" t="s">
        <v>1058</v>
      </c>
      <c r="B1" s="1683"/>
      <c r="C1" s="1683"/>
      <c r="D1" s="1683"/>
      <c r="E1" s="1683"/>
      <c r="F1" s="1683"/>
      <c r="G1" s="1683"/>
    </row>
    <row r="2" spans="1:10">
      <c r="A2" s="851" t="s">
        <v>174</v>
      </c>
      <c r="B2" s="851"/>
      <c r="C2" s="851"/>
      <c r="D2" s="851"/>
      <c r="E2" s="851"/>
      <c r="F2" s="851"/>
      <c r="G2" s="851"/>
    </row>
    <row r="3" spans="1:10" ht="45.75" customHeight="1">
      <c r="A3" s="851"/>
      <c r="B3" s="1563" t="s">
        <v>1059</v>
      </c>
      <c r="C3" s="1563"/>
      <c r="D3" s="1563"/>
      <c r="E3" s="1563"/>
      <c r="F3" s="1563"/>
      <c r="G3" s="1563"/>
      <c r="H3" s="1684"/>
      <c r="I3" s="1684"/>
      <c r="J3" s="1684"/>
    </row>
    <row r="4" spans="1:10">
      <c r="A4" s="851"/>
      <c r="B4" s="851" t="s">
        <v>1060</v>
      </c>
      <c r="C4" s="851"/>
      <c r="D4" s="851"/>
      <c r="E4" s="851"/>
      <c r="F4" s="851"/>
      <c r="G4" s="851"/>
    </row>
    <row r="5" spans="1:10" hidden="1">
      <c r="A5" s="851"/>
      <c r="B5" s="1685" t="s">
        <v>1061</v>
      </c>
      <c r="C5" s="851"/>
      <c r="D5" s="851"/>
      <c r="E5" s="851"/>
      <c r="F5" s="851"/>
      <c r="G5" s="851"/>
    </row>
    <row r="6" spans="1:10" hidden="1">
      <c r="A6" s="851"/>
      <c r="B6" s="1686" t="s">
        <v>179</v>
      </c>
      <c r="C6" s="851"/>
      <c r="D6" s="851"/>
      <c r="E6" s="851"/>
      <c r="F6" s="851"/>
      <c r="G6" s="851"/>
    </row>
    <row r="7" spans="1:10" hidden="1">
      <c r="A7" s="851"/>
      <c r="B7" s="1686" t="s">
        <v>279</v>
      </c>
      <c r="C7" s="1687">
        <v>0.6</v>
      </c>
      <c r="D7" s="1687" t="s">
        <v>18</v>
      </c>
      <c r="E7" s="1028">
        <f>'Lead Chart 24-25'!C64</f>
        <v>645</v>
      </c>
      <c r="F7" s="1687" t="s">
        <v>18</v>
      </c>
      <c r="G7" s="1688">
        <f>TRUNC(C7*E7,2)</f>
        <v>387</v>
      </c>
    </row>
    <row r="8" spans="1:10" hidden="1">
      <c r="A8" s="851"/>
      <c r="B8" s="1686" t="s">
        <v>121</v>
      </c>
      <c r="C8" s="1687">
        <v>1.4</v>
      </c>
      <c r="D8" s="1687" t="s">
        <v>18</v>
      </c>
      <c r="E8" s="1028">
        <f>'Lead Chart 24-25'!C65</f>
        <v>615</v>
      </c>
      <c r="F8" s="1687" t="s">
        <v>18</v>
      </c>
      <c r="G8" s="1688">
        <f t="shared" ref="G8:G10" si="0">TRUNC(C8*E8,2)</f>
        <v>861</v>
      </c>
    </row>
    <row r="9" spans="1:10" hidden="1">
      <c r="A9" s="851"/>
      <c r="B9" s="1686" t="s">
        <v>243</v>
      </c>
      <c r="C9" s="1687">
        <v>3</v>
      </c>
      <c r="D9" s="1687" t="s">
        <v>18</v>
      </c>
      <c r="E9" s="1028">
        <f>'Lead Chart 24-25'!C63</f>
        <v>575</v>
      </c>
      <c r="F9" s="1687" t="s">
        <v>18</v>
      </c>
      <c r="G9" s="1688">
        <f t="shared" si="0"/>
        <v>1725</v>
      </c>
    </row>
    <row r="10" spans="1:10" hidden="1">
      <c r="A10" s="851"/>
      <c r="B10" s="1686" t="s">
        <v>180</v>
      </c>
      <c r="C10" s="1687">
        <v>1</v>
      </c>
      <c r="D10" s="1687" t="s">
        <v>18</v>
      </c>
      <c r="E10" s="1028">
        <f>E9</f>
        <v>575</v>
      </c>
      <c r="F10" s="1687" t="s">
        <v>18</v>
      </c>
      <c r="G10" s="1688">
        <f t="shared" si="0"/>
        <v>575</v>
      </c>
    </row>
    <row r="11" spans="1:10" hidden="1">
      <c r="A11" s="851"/>
      <c r="B11" s="1686" t="s">
        <v>964</v>
      </c>
      <c r="C11" s="1687"/>
      <c r="D11" s="1687"/>
      <c r="E11" s="1687"/>
      <c r="F11" s="1687"/>
      <c r="G11" s="1034"/>
    </row>
    <row r="12" spans="1:10" hidden="1">
      <c r="A12" s="851"/>
      <c r="B12" s="1686" t="s">
        <v>181</v>
      </c>
      <c r="C12" s="1687">
        <v>50</v>
      </c>
      <c r="D12" s="1687" t="s">
        <v>1062</v>
      </c>
      <c r="E12" s="1028">
        <v>224</v>
      </c>
      <c r="F12" s="1687" t="s">
        <v>1062</v>
      </c>
      <c r="G12" s="1688">
        <f t="shared" ref="G12:G19" si="1">TRUNC(C12*E12,2)</f>
        <v>11200</v>
      </c>
    </row>
    <row r="13" spans="1:10" hidden="1">
      <c r="A13" s="851"/>
      <c r="B13" s="1686" t="s">
        <v>183</v>
      </c>
      <c r="C13" s="1687">
        <v>6.5000000000000002E-2</v>
      </c>
      <c r="D13" s="1687" t="s">
        <v>1063</v>
      </c>
      <c r="E13" s="1028">
        <f>'Lead Chart 24-25'!N43</f>
        <v>5000</v>
      </c>
      <c r="F13" s="1687" t="s">
        <v>1063</v>
      </c>
      <c r="G13" s="1688">
        <f t="shared" si="1"/>
        <v>325</v>
      </c>
    </row>
    <row r="14" spans="1:10" hidden="1">
      <c r="A14" s="851"/>
      <c r="B14" s="1686" t="s">
        <v>185</v>
      </c>
      <c r="C14" s="1687">
        <v>4.4999999999999998E-2</v>
      </c>
      <c r="D14" s="1687" t="s">
        <v>109</v>
      </c>
      <c r="E14" s="1028">
        <f>'Lead Chart 24-25'!N17</f>
        <v>1739.9439994719005</v>
      </c>
      <c r="F14" s="1687" t="s">
        <v>109</v>
      </c>
      <c r="G14" s="1688">
        <f t="shared" si="1"/>
        <v>78.290000000000006</v>
      </c>
    </row>
    <row r="15" spans="1:10" hidden="1">
      <c r="A15" s="851"/>
      <c r="B15" s="1686" t="s">
        <v>186</v>
      </c>
      <c r="C15" s="1687">
        <v>4.5</v>
      </c>
      <c r="D15" s="1687" t="s">
        <v>1064</v>
      </c>
      <c r="E15" s="1028">
        <v>130</v>
      </c>
      <c r="F15" s="1687" t="s">
        <v>1064</v>
      </c>
      <c r="G15" s="1688">
        <f t="shared" si="1"/>
        <v>585</v>
      </c>
    </row>
    <row r="16" spans="1:10" hidden="1">
      <c r="A16" s="851"/>
      <c r="B16" s="1686" t="s">
        <v>187</v>
      </c>
      <c r="C16" s="1687"/>
      <c r="D16" s="1687"/>
      <c r="E16" s="1687"/>
      <c r="F16" s="1687"/>
      <c r="G16" s="1689">
        <f>SUM(G7:G15)</f>
        <v>15736.29</v>
      </c>
    </row>
    <row r="17" spans="1:7" ht="25.5" hidden="1">
      <c r="A17" s="851"/>
      <c r="B17" s="1686" t="s">
        <v>1065</v>
      </c>
      <c r="C17" s="1690">
        <v>0.01</v>
      </c>
      <c r="D17" s="1687"/>
      <c r="E17" s="1691">
        <f>G16</f>
        <v>15736.29</v>
      </c>
      <c r="F17" s="1687"/>
      <c r="G17" s="1688">
        <f t="shared" si="1"/>
        <v>157.36000000000001</v>
      </c>
    </row>
    <row r="18" spans="1:7" hidden="1">
      <c r="A18" s="851"/>
      <c r="B18" s="1686" t="s">
        <v>189</v>
      </c>
      <c r="C18" s="1687"/>
      <c r="D18" s="1687"/>
      <c r="E18" s="1687"/>
      <c r="F18" s="1687"/>
      <c r="G18" s="1689">
        <f>SUM(G16:G17)</f>
        <v>15893.650000000001</v>
      </c>
    </row>
    <row r="19" spans="1:7" hidden="1">
      <c r="A19" s="851"/>
      <c r="B19" s="1686" t="s">
        <v>190</v>
      </c>
      <c r="C19" s="1687">
        <f>'Lead Chart 24-25'!J64</f>
        <v>0.13614999999999999</v>
      </c>
      <c r="D19" s="1687"/>
      <c r="E19" s="1691">
        <f>G18</f>
        <v>15893.650000000001</v>
      </c>
      <c r="F19" s="1687"/>
      <c r="G19" s="1688">
        <f t="shared" si="1"/>
        <v>2163.92</v>
      </c>
    </row>
    <row r="20" spans="1:7" hidden="1">
      <c r="A20" s="851"/>
      <c r="B20" s="1686" t="s">
        <v>191</v>
      </c>
      <c r="C20" s="1687"/>
      <c r="D20" s="1687"/>
      <c r="E20" s="1687"/>
      <c r="F20" s="1687"/>
      <c r="G20" s="1689">
        <f>SUM(G18:G19)</f>
        <v>18057.57</v>
      </c>
    </row>
    <row r="21" spans="1:7" hidden="1">
      <c r="A21" s="851"/>
      <c r="B21" s="1686" t="s">
        <v>966</v>
      </c>
      <c r="C21" s="1687"/>
      <c r="D21" s="1687"/>
      <c r="E21" s="1687"/>
      <c r="F21" s="1687"/>
      <c r="G21" s="1026">
        <f>TRUNC(G20/30,2)</f>
        <v>601.91</v>
      </c>
    </row>
    <row r="22" spans="1:7" hidden="1">
      <c r="A22" s="851"/>
      <c r="B22" s="1692" t="s">
        <v>1066</v>
      </c>
      <c r="C22" s="1687"/>
      <c r="D22" s="1687"/>
      <c r="E22" s="1687"/>
      <c r="F22" s="1687"/>
      <c r="G22" s="1034"/>
    </row>
    <row r="23" spans="1:7" hidden="1">
      <c r="A23" s="851"/>
      <c r="B23" s="1686" t="s">
        <v>179</v>
      </c>
      <c r="C23" s="1687"/>
      <c r="D23" s="1687"/>
      <c r="E23" s="1687"/>
      <c r="F23" s="1687"/>
      <c r="G23" s="1034"/>
    </row>
    <row r="24" spans="1:7" hidden="1">
      <c r="A24" s="851"/>
      <c r="B24" s="1686" t="s">
        <v>279</v>
      </c>
      <c r="C24" s="1687">
        <v>0.9</v>
      </c>
      <c r="D24" s="1687" t="s">
        <v>18</v>
      </c>
      <c r="E24" s="1028">
        <f>E7</f>
        <v>645</v>
      </c>
      <c r="F24" s="1687" t="s">
        <v>18</v>
      </c>
      <c r="G24" s="1688">
        <f>TRUNC(C24*E24,2)</f>
        <v>580.5</v>
      </c>
    </row>
    <row r="25" spans="1:7" hidden="1">
      <c r="A25" s="851"/>
      <c r="B25" s="1686" t="s">
        <v>121</v>
      </c>
      <c r="C25" s="1687">
        <v>2.1</v>
      </c>
      <c r="D25" s="1687" t="s">
        <v>18</v>
      </c>
      <c r="E25" s="1028">
        <f>E8</f>
        <v>615</v>
      </c>
      <c r="F25" s="1687" t="s">
        <v>18</v>
      </c>
      <c r="G25" s="1688">
        <f t="shared" ref="G25:G27" si="2">TRUNC(C25*E25,2)</f>
        <v>1291.5</v>
      </c>
    </row>
    <row r="26" spans="1:7" hidden="1">
      <c r="A26" s="851"/>
      <c r="B26" s="1686" t="s">
        <v>243</v>
      </c>
      <c r="C26" s="1687">
        <v>4</v>
      </c>
      <c r="D26" s="1687" t="s">
        <v>18</v>
      </c>
      <c r="E26" s="1028">
        <f>E9</f>
        <v>575</v>
      </c>
      <c r="F26" s="1687" t="s">
        <v>18</v>
      </c>
      <c r="G26" s="1688">
        <f t="shared" si="2"/>
        <v>2300</v>
      </c>
    </row>
    <row r="27" spans="1:7" hidden="1">
      <c r="A27" s="851"/>
      <c r="B27" s="1686" t="s">
        <v>180</v>
      </c>
      <c r="C27" s="1687">
        <v>1</v>
      </c>
      <c r="D27" s="1687" t="s">
        <v>18</v>
      </c>
      <c r="E27" s="1028">
        <f>E26</f>
        <v>575</v>
      </c>
      <c r="F27" s="1687" t="s">
        <v>18</v>
      </c>
      <c r="G27" s="1688">
        <f t="shared" si="2"/>
        <v>575</v>
      </c>
    </row>
    <row r="28" spans="1:7" hidden="1">
      <c r="A28" s="851"/>
      <c r="B28" s="1686" t="s">
        <v>964</v>
      </c>
      <c r="C28" s="1687"/>
      <c r="D28" s="1687"/>
      <c r="E28" s="1687"/>
      <c r="F28" s="1687"/>
      <c r="G28" s="1034"/>
    </row>
    <row r="29" spans="1:7" hidden="1">
      <c r="A29" s="851"/>
      <c r="B29" s="1686" t="s">
        <v>181</v>
      </c>
      <c r="C29" s="1687">
        <v>50</v>
      </c>
      <c r="D29" s="1687" t="s">
        <v>1062</v>
      </c>
      <c r="E29" s="1028">
        <f>374</f>
        <v>374</v>
      </c>
      <c r="F29" s="1687" t="s">
        <v>1062</v>
      </c>
      <c r="G29" s="1688">
        <f t="shared" ref="G29:G32" si="3">TRUNC(C29*E29,2)</f>
        <v>18700</v>
      </c>
    </row>
    <row r="30" spans="1:7" hidden="1">
      <c r="A30" s="851"/>
      <c r="B30" s="1686" t="s">
        <v>183</v>
      </c>
      <c r="C30" s="1687">
        <v>9.7000000000000003E-2</v>
      </c>
      <c r="D30" s="1687" t="s">
        <v>1063</v>
      </c>
      <c r="E30" s="1028">
        <f>E13</f>
        <v>5000</v>
      </c>
      <c r="F30" s="1687" t="s">
        <v>1063</v>
      </c>
      <c r="G30" s="1688">
        <f t="shared" si="3"/>
        <v>485</v>
      </c>
    </row>
    <row r="31" spans="1:7" hidden="1">
      <c r="A31" s="851"/>
      <c r="B31" s="1686" t="s">
        <v>185</v>
      </c>
      <c r="C31" s="1687">
        <v>6.8000000000000005E-2</v>
      </c>
      <c r="D31" s="1687" t="s">
        <v>109</v>
      </c>
      <c r="E31" s="1028">
        <f>E14</f>
        <v>1739.9439994719005</v>
      </c>
      <c r="F31" s="1687" t="s">
        <v>109</v>
      </c>
      <c r="G31" s="1688">
        <f t="shared" si="3"/>
        <v>118.31</v>
      </c>
    </row>
    <row r="32" spans="1:7" hidden="1">
      <c r="A32" s="851"/>
      <c r="B32" s="1686" t="s">
        <v>1067</v>
      </c>
      <c r="C32" s="1687">
        <v>9</v>
      </c>
      <c r="D32" s="1687" t="s">
        <v>1064</v>
      </c>
      <c r="E32" s="1028">
        <v>130</v>
      </c>
      <c r="F32" s="1687" t="s">
        <v>1064</v>
      </c>
      <c r="G32" s="1688">
        <f t="shared" si="3"/>
        <v>1170</v>
      </c>
    </row>
    <row r="33" spans="1:9" hidden="1">
      <c r="A33" s="851"/>
      <c r="B33" s="1686" t="s">
        <v>187</v>
      </c>
      <c r="C33" s="1687"/>
      <c r="D33" s="1687"/>
      <c r="E33" s="1687"/>
      <c r="F33" s="1687"/>
      <c r="G33" s="1689">
        <f>SUM(G24:G32)</f>
        <v>25220.31</v>
      </c>
    </row>
    <row r="34" spans="1:9" ht="25.5" hidden="1">
      <c r="A34" s="851"/>
      <c r="B34" s="1686" t="s">
        <v>1065</v>
      </c>
      <c r="C34" s="1690">
        <v>0.01</v>
      </c>
      <c r="D34" s="1687"/>
      <c r="E34" s="1691">
        <f>G33</f>
        <v>25220.31</v>
      </c>
      <c r="F34" s="1687"/>
      <c r="G34" s="1688">
        <f t="shared" ref="G34" si="4">TRUNC(C34*E34,2)</f>
        <v>252.2</v>
      </c>
    </row>
    <row r="35" spans="1:9" hidden="1">
      <c r="A35" s="851"/>
      <c r="B35" s="1686" t="s">
        <v>189</v>
      </c>
      <c r="C35" s="1687"/>
      <c r="D35" s="1687"/>
      <c r="E35" s="1687"/>
      <c r="F35" s="1687"/>
      <c r="G35" s="1689">
        <f>SUM(G33:G34)</f>
        <v>25472.510000000002</v>
      </c>
    </row>
    <row r="36" spans="1:9" hidden="1">
      <c r="A36" s="851"/>
      <c r="B36" s="1686" t="s">
        <v>190</v>
      </c>
      <c r="C36" s="1687">
        <f>'[43]Lead 2022-23'!J53</f>
        <v>0</v>
      </c>
      <c r="D36" s="1687"/>
      <c r="E36" s="1691">
        <f>G35</f>
        <v>25472.510000000002</v>
      </c>
      <c r="F36" s="1687"/>
      <c r="G36" s="1688">
        <f t="shared" ref="G36" si="5">TRUNC(C36*E36,2)</f>
        <v>0</v>
      </c>
    </row>
    <row r="37" spans="1:9" hidden="1">
      <c r="A37" s="851"/>
      <c r="B37" s="1686" t="s">
        <v>191</v>
      </c>
      <c r="C37" s="1687"/>
      <c r="D37" s="1687"/>
      <c r="E37" s="1687"/>
      <c r="F37" s="1687"/>
      <c r="G37" s="1689">
        <f>SUM(G35:G36)</f>
        <v>25472.510000000002</v>
      </c>
    </row>
    <row r="38" spans="1:9" hidden="1">
      <c r="A38" s="851"/>
      <c r="B38" s="1686" t="s">
        <v>966</v>
      </c>
      <c r="C38" s="1687"/>
      <c r="D38" s="1687"/>
      <c r="E38" s="1687"/>
      <c r="F38" s="1687"/>
      <c r="G38" s="1026">
        <f>TRUNC(G37/30,2)</f>
        <v>849.08</v>
      </c>
    </row>
    <row r="39" spans="1:9">
      <c r="A39" s="851"/>
      <c r="B39" s="851"/>
      <c r="C39" s="1687"/>
      <c r="D39" s="1687"/>
      <c r="E39" s="1687"/>
      <c r="F39" s="1687"/>
      <c r="G39" s="851"/>
    </row>
    <row r="40" spans="1:9">
      <c r="A40" s="851"/>
      <c r="B40" s="1692" t="s">
        <v>1068</v>
      </c>
      <c r="C40" s="1687"/>
      <c r="D40" s="1687"/>
      <c r="E40" s="1687"/>
      <c r="F40" s="1687"/>
      <c r="G40" s="851"/>
    </row>
    <row r="41" spans="1:9">
      <c r="A41" s="851"/>
      <c r="B41" s="1686" t="s">
        <v>179</v>
      </c>
      <c r="C41" s="1687"/>
      <c r="D41" s="1687"/>
      <c r="E41" s="1687"/>
      <c r="F41" s="1687"/>
      <c r="G41" s="851"/>
    </row>
    <row r="42" spans="1:9">
      <c r="A42" s="851"/>
      <c r="B42" s="1686" t="s">
        <v>279</v>
      </c>
      <c r="C42" s="1687">
        <v>1.05</v>
      </c>
      <c r="D42" s="1687" t="s">
        <v>18</v>
      </c>
      <c r="E42" s="1028">
        <f>E24</f>
        <v>645</v>
      </c>
      <c r="F42" s="1687" t="s">
        <v>18</v>
      </c>
      <c r="G42" s="1693">
        <f>TRUNC(C42*E42,2)</f>
        <v>677.25</v>
      </c>
      <c r="H42" s="1033">
        <v>645</v>
      </c>
      <c r="I42" s="1033">
        <v>677.25</v>
      </c>
    </row>
    <row r="43" spans="1:9">
      <c r="A43" s="851"/>
      <c r="B43" s="1686" t="s">
        <v>121</v>
      </c>
      <c r="C43" s="1687">
        <v>2.4500000000000002</v>
      </c>
      <c r="D43" s="1687" t="s">
        <v>18</v>
      </c>
      <c r="E43" s="1028">
        <f>E25</f>
        <v>615</v>
      </c>
      <c r="F43" s="1687" t="s">
        <v>18</v>
      </c>
      <c r="G43" s="1693">
        <f t="shared" ref="G43:G45" si="6">TRUNC(C43*E43,2)</f>
        <v>1506.75</v>
      </c>
      <c r="H43" s="1033">
        <v>615</v>
      </c>
      <c r="I43" s="1033">
        <v>1506.75</v>
      </c>
    </row>
    <row r="44" spans="1:9">
      <c r="A44" s="851"/>
      <c r="B44" s="1686" t="s">
        <v>243</v>
      </c>
      <c r="C44" s="1687">
        <v>4.5</v>
      </c>
      <c r="D44" s="1687" t="s">
        <v>18</v>
      </c>
      <c r="E44" s="1028">
        <f>E26</f>
        <v>575</v>
      </c>
      <c r="F44" s="1687" t="s">
        <v>18</v>
      </c>
      <c r="G44" s="1693">
        <f t="shared" si="6"/>
        <v>2587.5</v>
      </c>
      <c r="H44" s="1033">
        <v>575</v>
      </c>
      <c r="I44" s="1033">
        <v>2587.5</v>
      </c>
    </row>
    <row r="45" spans="1:9">
      <c r="A45" s="851"/>
      <c r="B45" s="1686" t="s">
        <v>180</v>
      </c>
      <c r="C45" s="1687">
        <v>1.25</v>
      </c>
      <c r="D45" s="1687" t="s">
        <v>18</v>
      </c>
      <c r="E45" s="1028">
        <f>E44</f>
        <v>575</v>
      </c>
      <c r="F45" s="1687" t="s">
        <v>18</v>
      </c>
      <c r="G45" s="1693">
        <f t="shared" si="6"/>
        <v>718.75</v>
      </c>
      <c r="H45" s="1033">
        <v>575</v>
      </c>
      <c r="I45" s="1033">
        <v>718.75</v>
      </c>
    </row>
    <row r="46" spans="1:9">
      <c r="A46" s="851"/>
      <c r="B46" s="1686" t="s">
        <v>964</v>
      </c>
      <c r="C46" s="1687"/>
      <c r="D46" s="1687"/>
      <c r="E46" s="1687"/>
      <c r="F46" s="1687"/>
      <c r="G46" s="851"/>
    </row>
    <row r="47" spans="1:9">
      <c r="A47" s="851"/>
      <c r="B47" s="1686" t="s">
        <v>1412</v>
      </c>
      <c r="C47" s="1687">
        <v>50</v>
      </c>
      <c r="D47" s="1687" t="s">
        <v>1062</v>
      </c>
      <c r="E47" s="1028">
        <f>599</f>
        <v>599</v>
      </c>
      <c r="F47" s="1687" t="s">
        <v>1062</v>
      </c>
      <c r="G47" s="1693">
        <f t="shared" ref="G47:G50" si="7">TRUNC(C47*E47,2)</f>
        <v>29950</v>
      </c>
      <c r="H47" s="1033">
        <v>599</v>
      </c>
      <c r="I47" s="1033">
        <v>17970</v>
      </c>
    </row>
    <row r="48" spans="1:9">
      <c r="A48" s="851"/>
      <c r="B48" s="1686" t="s">
        <v>183</v>
      </c>
      <c r="C48" s="1687">
        <v>0.13</v>
      </c>
      <c r="D48" s="1687" t="s">
        <v>1063</v>
      </c>
      <c r="E48" s="1694">
        <f>E30</f>
        <v>5000</v>
      </c>
      <c r="F48" s="1687" t="s">
        <v>1063</v>
      </c>
      <c r="G48" s="1693">
        <f t="shared" si="7"/>
        <v>650</v>
      </c>
      <c r="H48" s="1033">
        <v>5000</v>
      </c>
      <c r="I48" s="1033">
        <v>650</v>
      </c>
    </row>
    <row r="49" spans="1:12">
      <c r="A49" s="851"/>
      <c r="B49" s="1686" t="s">
        <v>185</v>
      </c>
      <c r="C49" s="1687">
        <v>9.0999999999999998E-2</v>
      </c>
      <c r="D49" s="1687" t="s">
        <v>109</v>
      </c>
      <c r="E49" s="1028">
        <f>'Lead Chart 24-25'!N16</f>
        <v>1629.9439994719005</v>
      </c>
      <c r="F49" s="1687" t="s">
        <v>109</v>
      </c>
      <c r="G49" s="1693">
        <f t="shared" si="7"/>
        <v>148.32</v>
      </c>
      <c r="H49" s="1033">
        <v>1812.3700655723276</v>
      </c>
      <c r="I49" s="1033">
        <v>164.92567596708182</v>
      </c>
      <c r="K49" s="1033">
        <v>578</v>
      </c>
      <c r="L49" s="1033">
        <v>1</v>
      </c>
    </row>
    <row r="50" spans="1:12">
      <c r="A50" s="851"/>
      <c r="B50" s="1686" t="s">
        <v>1067</v>
      </c>
      <c r="C50" s="1687">
        <v>12</v>
      </c>
      <c r="D50" s="1687" t="s">
        <v>1064</v>
      </c>
      <c r="E50" s="1028">
        <v>130</v>
      </c>
      <c r="F50" s="1687" t="s">
        <v>1064</v>
      </c>
      <c r="G50" s="1693">
        <f t="shared" si="7"/>
        <v>1560</v>
      </c>
      <c r="H50" s="1033">
        <v>130</v>
      </c>
      <c r="I50" s="1033">
        <v>1560</v>
      </c>
    </row>
    <row r="51" spans="1:12">
      <c r="A51" s="851"/>
      <c r="B51" s="1686" t="s">
        <v>187</v>
      </c>
      <c r="C51" s="1687"/>
      <c r="D51" s="1687"/>
      <c r="E51" s="1687"/>
      <c r="F51" s="1687"/>
      <c r="G51" s="1695">
        <f>SUM(G42:G50)</f>
        <v>37798.57</v>
      </c>
      <c r="I51" s="1033">
        <v>25835.175675967082</v>
      </c>
    </row>
    <row r="52" spans="1:12" ht="25.5">
      <c r="A52" s="851"/>
      <c r="B52" s="1686" t="s">
        <v>1065</v>
      </c>
      <c r="C52" s="1690">
        <v>0.01</v>
      </c>
      <c r="D52" s="1687"/>
      <c r="E52" s="1691">
        <f>G51</f>
        <v>37798.57</v>
      </c>
      <c r="F52" s="1687"/>
      <c r="G52" s="1688">
        <f t="shared" ref="G52" si="8">TRUNC(C52*E52,2)</f>
        <v>377.98</v>
      </c>
      <c r="H52" s="1033">
        <v>25835.175675967082</v>
      </c>
      <c r="I52" s="1033">
        <v>258.35175675967082</v>
      </c>
    </row>
    <row r="53" spans="1:12">
      <c r="A53" s="851"/>
      <c r="B53" s="1686" t="s">
        <v>189</v>
      </c>
      <c r="C53" s="1687"/>
      <c r="D53" s="1687"/>
      <c r="E53" s="1687"/>
      <c r="F53" s="1687"/>
      <c r="G53" s="1695">
        <f>SUM(G51:G52)</f>
        <v>38176.550000000003</v>
      </c>
      <c r="I53" s="1033">
        <v>26093.527432726754</v>
      </c>
    </row>
    <row r="54" spans="1:12">
      <c r="A54" s="851"/>
      <c r="B54" s="1686" t="s">
        <v>190</v>
      </c>
      <c r="C54" s="1696">
        <v>0.13614999999999999</v>
      </c>
      <c r="D54" s="1687"/>
      <c r="E54" s="1691">
        <f>E52</f>
        <v>37798.57</v>
      </c>
      <c r="F54" s="1687"/>
      <c r="G54" s="1693">
        <f t="shared" ref="G54:G56" si="9">TRUNC(C54*E54,2)</f>
        <v>5146.2700000000004</v>
      </c>
      <c r="H54" s="1033">
        <v>26093.527432726754</v>
      </c>
      <c r="I54" s="1033">
        <v>3552.6337599657472</v>
      </c>
    </row>
    <row r="55" spans="1:12">
      <c r="A55" s="851"/>
      <c r="B55" s="1686" t="s">
        <v>191</v>
      </c>
      <c r="C55" s="1687"/>
      <c r="D55" s="1687"/>
      <c r="E55" s="1687"/>
      <c r="F55" s="1687"/>
      <c r="G55" s="1695">
        <f>SUM(G53:G54)</f>
        <v>43322.820000000007</v>
      </c>
      <c r="H55" s="1033">
        <v>5490.25</v>
      </c>
      <c r="I55" s="1033">
        <v>0</v>
      </c>
    </row>
    <row r="56" spans="1:12">
      <c r="A56" s="851"/>
      <c r="B56" s="1686" t="s">
        <v>1069</v>
      </c>
      <c r="C56" s="1690">
        <f>'Lead Chart 24-25'!J63</f>
        <v>0</v>
      </c>
      <c r="D56" s="1687"/>
      <c r="E56" s="1691">
        <f>SUM(G42:G45)</f>
        <v>5490.25</v>
      </c>
      <c r="F56" s="1687"/>
      <c r="G56" s="1693">
        <f t="shared" si="9"/>
        <v>0</v>
      </c>
      <c r="I56" s="1033">
        <v>29646.161192692503</v>
      </c>
    </row>
    <row r="57" spans="1:12">
      <c r="A57" s="851"/>
      <c r="B57" s="1686"/>
      <c r="C57" s="1690"/>
      <c r="D57" s="1687"/>
      <c r="E57" s="1691"/>
      <c r="F57" s="1687"/>
      <c r="G57" s="1693">
        <f>SUM(G55:G56)</f>
        <v>43322.820000000007</v>
      </c>
      <c r="I57" s="1033">
        <v>988.20537308975008</v>
      </c>
    </row>
    <row r="58" spans="1:12">
      <c r="A58" s="851"/>
      <c r="B58" s="1686" t="s">
        <v>966</v>
      </c>
      <c r="C58" s="1687"/>
      <c r="D58" s="1687"/>
      <c r="E58" s="1687"/>
      <c r="F58" s="1687"/>
      <c r="G58" s="1697">
        <f>TRUNC(G57/30,2)</f>
        <v>1444.09</v>
      </c>
      <c r="H58" s="1033">
        <v>1045.9100000000001</v>
      </c>
    </row>
    <row r="59" spans="1:12">
      <c r="A59" s="851"/>
      <c r="B59" s="851"/>
      <c r="C59" s="1687"/>
      <c r="D59" s="1687"/>
      <c r="E59" s="1687"/>
      <c r="F59" s="1687"/>
      <c r="G59" s="851"/>
    </row>
    <row r="60" spans="1:12" hidden="1">
      <c r="A60" s="851"/>
      <c r="B60" s="1692" t="s">
        <v>1070</v>
      </c>
      <c r="C60" s="1687"/>
      <c r="D60" s="1687"/>
      <c r="E60" s="1687"/>
      <c r="F60" s="1687"/>
      <c r="G60" s="851"/>
    </row>
    <row r="61" spans="1:12" hidden="1">
      <c r="A61" s="851"/>
      <c r="B61" s="1686" t="s">
        <v>179</v>
      </c>
      <c r="C61" s="1687"/>
      <c r="D61" s="1687"/>
      <c r="E61" s="1687"/>
      <c r="F61" s="1687"/>
      <c r="G61" s="851"/>
    </row>
    <row r="62" spans="1:12" hidden="1">
      <c r="A62" s="851"/>
      <c r="B62" s="1686" t="s">
        <v>279</v>
      </c>
      <c r="C62" s="1687">
        <v>1.2</v>
      </c>
      <c r="D62" s="1687" t="s">
        <v>18</v>
      </c>
      <c r="E62" s="1028">
        <f>E42</f>
        <v>645</v>
      </c>
      <c r="F62" s="1687" t="s">
        <v>18</v>
      </c>
      <c r="G62" s="1693">
        <f>TRUNC(C62*E62,2)</f>
        <v>774</v>
      </c>
    </row>
    <row r="63" spans="1:12" hidden="1">
      <c r="A63" s="851"/>
      <c r="B63" s="1686" t="s">
        <v>121</v>
      </c>
      <c r="C63" s="1687">
        <v>2.8</v>
      </c>
      <c r="D63" s="1687" t="s">
        <v>18</v>
      </c>
      <c r="E63" s="1028">
        <f>E43</f>
        <v>615</v>
      </c>
      <c r="F63" s="1687" t="s">
        <v>18</v>
      </c>
      <c r="G63" s="1693">
        <f t="shared" ref="G63:G65" si="10">TRUNC(C63*E63,2)</f>
        <v>1722</v>
      </c>
    </row>
    <row r="64" spans="1:12" hidden="1">
      <c r="A64" s="851"/>
      <c r="B64" s="1686" t="s">
        <v>243</v>
      </c>
      <c r="C64" s="1687">
        <v>5</v>
      </c>
      <c r="D64" s="1687" t="s">
        <v>18</v>
      </c>
      <c r="E64" s="1028">
        <f>E44</f>
        <v>575</v>
      </c>
      <c r="F64" s="1687" t="s">
        <v>18</v>
      </c>
      <c r="G64" s="1693">
        <f t="shared" si="10"/>
        <v>2875</v>
      </c>
    </row>
    <row r="65" spans="1:7" hidden="1">
      <c r="A65" s="851"/>
      <c r="B65" s="1686" t="s">
        <v>180</v>
      </c>
      <c r="C65" s="1687">
        <v>1.5</v>
      </c>
      <c r="D65" s="1687" t="s">
        <v>18</v>
      </c>
      <c r="E65" s="1028">
        <f>E64</f>
        <v>575</v>
      </c>
      <c r="F65" s="1687" t="s">
        <v>18</v>
      </c>
      <c r="G65" s="1693">
        <f t="shared" si="10"/>
        <v>862.5</v>
      </c>
    </row>
    <row r="66" spans="1:7" hidden="1">
      <c r="A66" s="851"/>
      <c r="B66" s="1686" t="s">
        <v>964</v>
      </c>
      <c r="C66" s="1687"/>
      <c r="D66" s="1687"/>
      <c r="E66" s="1687"/>
      <c r="F66" s="1687"/>
      <c r="G66" s="851"/>
    </row>
    <row r="67" spans="1:7" hidden="1">
      <c r="A67" s="851"/>
      <c r="B67" s="1686" t="s">
        <v>181</v>
      </c>
      <c r="C67" s="1687">
        <v>50</v>
      </c>
      <c r="D67" s="1687" t="s">
        <v>1062</v>
      </c>
      <c r="E67" s="1028">
        <f>1057*0.6</f>
        <v>634.19999999999993</v>
      </c>
      <c r="F67" s="1687" t="s">
        <v>1062</v>
      </c>
      <c r="G67" s="1693">
        <f t="shared" ref="G67:G70" si="11">TRUNC(C67*E67,2)</f>
        <v>31710</v>
      </c>
    </row>
    <row r="68" spans="1:7" hidden="1">
      <c r="A68" s="851"/>
      <c r="B68" s="1686" t="s">
        <v>183</v>
      </c>
      <c r="C68" s="1687">
        <v>0.14599999999999999</v>
      </c>
      <c r="D68" s="1687" t="s">
        <v>1063</v>
      </c>
      <c r="E68" s="1028">
        <f>E48</f>
        <v>5000</v>
      </c>
      <c r="F68" s="1687" t="s">
        <v>1063</v>
      </c>
      <c r="G68" s="1693">
        <f t="shared" si="11"/>
        <v>730</v>
      </c>
    </row>
    <row r="69" spans="1:7" hidden="1">
      <c r="A69" s="851"/>
      <c r="B69" s="1686" t="s">
        <v>185</v>
      </c>
      <c r="C69" s="1687">
        <v>0.10199999999999999</v>
      </c>
      <c r="D69" s="1687" t="s">
        <v>109</v>
      </c>
      <c r="E69" s="1028">
        <f>E49</f>
        <v>1629.9439994719005</v>
      </c>
      <c r="F69" s="1687" t="s">
        <v>109</v>
      </c>
      <c r="G69" s="1693">
        <f t="shared" si="11"/>
        <v>166.25</v>
      </c>
    </row>
    <row r="70" spans="1:7" hidden="1">
      <c r="A70" s="851"/>
      <c r="B70" s="1686" t="s">
        <v>1067</v>
      </c>
      <c r="C70" s="1687">
        <v>13.5</v>
      </c>
      <c r="D70" s="1687" t="s">
        <v>1064</v>
      </c>
      <c r="E70" s="1028">
        <v>130</v>
      </c>
      <c r="F70" s="1687" t="s">
        <v>1064</v>
      </c>
      <c r="G70" s="1693">
        <f t="shared" si="11"/>
        <v>1755</v>
      </c>
    </row>
    <row r="71" spans="1:7" hidden="1">
      <c r="A71" s="851"/>
      <c r="B71" s="1686" t="s">
        <v>187</v>
      </c>
      <c r="C71" s="1687"/>
      <c r="D71" s="1687"/>
      <c r="E71" s="1687"/>
      <c r="F71" s="1687"/>
      <c r="G71" s="1695">
        <f>SUM(G62:G70)</f>
        <v>40594.75</v>
      </c>
    </row>
    <row r="72" spans="1:7" ht="25.5" hidden="1">
      <c r="A72" s="851"/>
      <c r="B72" s="1686" t="s">
        <v>1065</v>
      </c>
      <c r="C72" s="1690">
        <v>0.01</v>
      </c>
      <c r="D72" s="1687"/>
      <c r="E72" s="1691">
        <f>G71</f>
        <v>40594.75</v>
      </c>
      <c r="F72" s="1687"/>
      <c r="G72" s="1688">
        <f t="shared" ref="G72" si="12">TRUNC(C72*E72,2)</f>
        <v>405.94</v>
      </c>
    </row>
    <row r="73" spans="1:7" hidden="1">
      <c r="A73" s="851"/>
      <c r="B73" s="1686" t="s">
        <v>189</v>
      </c>
      <c r="C73" s="1687"/>
      <c r="D73" s="1687"/>
      <c r="E73" s="1687"/>
      <c r="F73" s="1687"/>
      <c r="G73" s="1695">
        <f>SUM(G71:G72)</f>
        <v>41000.69</v>
      </c>
    </row>
    <row r="74" spans="1:7" hidden="1">
      <c r="A74" s="851"/>
      <c r="B74" s="1686" t="s">
        <v>190</v>
      </c>
      <c r="C74" s="1696">
        <v>0.13614999999999999</v>
      </c>
      <c r="D74" s="1687"/>
      <c r="E74" s="1691">
        <f>G73</f>
        <v>41000.69</v>
      </c>
      <c r="F74" s="1687"/>
      <c r="G74" s="1693">
        <f t="shared" ref="G74" si="13">TRUNC(C74*E74,2)</f>
        <v>5582.24</v>
      </c>
    </row>
    <row r="75" spans="1:7" hidden="1">
      <c r="A75" s="851"/>
      <c r="B75" s="1686" t="s">
        <v>191</v>
      </c>
      <c r="C75" s="1687"/>
      <c r="D75" s="1687"/>
      <c r="E75" s="1687"/>
      <c r="F75" s="1687"/>
      <c r="G75" s="1695">
        <f>SUM(G73:G74)</f>
        <v>46582.93</v>
      </c>
    </row>
    <row r="76" spans="1:7" hidden="1">
      <c r="A76" s="851"/>
      <c r="B76" s="1686" t="s">
        <v>1069</v>
      </c>
      <c r="C76" s="1690">
        <f>'[43]Lead 2022-23'!J48</f>
        <v>0.25</v>
      </c>
      <c r="D76" s="1687"/>
      <c r="E76" s="1691">
        <f>SUM(G62:G65)</f>
        <v>6233.5</v>
      </c>
      <c r="F76" s="1687"/>
      <c r="G76" s="1693">
        <f t="shared" ref="G76" si="14">TRUNC(C76*E76,2)</f>
        <v>1558.37</v>
      </c>
    </row>
    <row r="77" spans="1:7" hidden="1">
      <c r="A77" s="851"/>
      <c r="B77" s="1686"/>
      <c r="C77" s="1690"/>
      <c r="D77" s="1687"/>
      <c r="E77" s="1691"/>
      <c r="F77" s="1687"/>
      <c r="G77" s="1693">
        <f>SUM(G75:G76)</f>
        <v>48141.3</v>
      </c>
    </row>
    <row r="78" spans="1:7" hidden="1">
      <c r="A78" s="851"/>
      <c r="B78" s="1686" t="s">
        <v>966</v>
      </c>
      <c r="C78" s="1687"/>
      <c r="D78" s="1687"/>
      <c r="E78" s="1687"/>
      <c r="F78" s="1687"/>
      <c r="G78" s="1685">
        <f>TRUNC(G77/30,2)</f>
        <v>1604.71</v>
      </c>
    </row>
    <row r="79" spans="1:7" hidden="1">
      <c r="A79" s="851"/>
      <c r="B79" s="851"/>
      <c r="C79" s="1687"/>
      <c r="D79" s="1687"/>
      <c r="E79" s="1687"/>
      <c r="F79" s="1687"/>
      <c r="G79" s="851"/>
    </row>
    <row r="80" spans="1:7">
      <c r="A80" s="851"/>
      <c r="B80" s="1692" t="s">
        <v>1071</v>
      </c>
      <c r="C80" s="1687"/>
      <c r="D80" s="1687"/>
      <c r="E80" s="1687"/>
      <c r="F80" s="1687"/>
      <c r="G80" s="851"/>
    </row>
    <row r="81" spans="1:7">
      <c r="A81" s="851"/>
      <c r="B81" s="1686" t="s">
        <v>179</v>
      </c>
      <c r="C81" s="1687"/>
      <c r="D81" s="1687"/>
      <c r="E81" s="1687"/>
      <c r="F81" s="1687"/>
      <c r="G81" s="851"/>
    </row>
    <row r="82" spans="1:7">
      <c r="A82" s="851"/>
      <c r="B82" s="1686" t="s">
        <v>279</v>
      </c>
      <c r="C82" s="1687">
        <v>1.5</v>
      </c>
      <c r="D82" s="1687" t="s">
        <v>18</v>
      </c>
      <c r="E82" s="1028">
        <f>E62</f>
        <v>645</v>
      </c>
      <c r="F82" s="1687" t="s">
        <v>18</v>
      </c>
      <c r="G82" s="1693">
        <f>TRUNC(C82*E82,2)</f>
        <v>967.5</v>
      </c>
    </row>
    <row r="83" spans="1:7">
      <c r="A83" s="851"/>
      <c r="B83" s="1686" t="s">
        <v>121</v>
      </c>
      <c r="C83" s="1687">
        <v>3.5</v>
      </c>
      <c r="D83" s="1687" t="s">
        <v>18</v>
      </c>
      <c r="E83" s="1028">
        <f>E63</f>
        <v>615</v>
      </c>
      <c r="F83" s="1687" t="s">
        <v>18</v>
      </c>
      <c r="G83" s="1693">
        <f t="shared" ref="G83:G85" si="15">TRUNC(C83*E83,2)</f>
        <v>2152.5</v>
      </c>
    </row>
    <row r="84" spans="1:7">
      <c r="A84" s="851"/>
      <c r="B84" s="1686" t="s">
        <v>243</v>
      </c>
      <c r="C84" s="1687">
        <v>6</v>
      </c>
      <c r="D84" s="1687" t="s">
        <v>18</v>
      </c>
      <c r="E84" s="1028">
        <f>E64</f>
        <v>575</v>
      </c>
      <c r="F84" s="1687" t="s">
        <v>18</v>
      </c>
      <c r="G84" s="1693">
        <f t="shared" si="15"/>
        <v>3450</v>
      </c>
    </row>
    <row r="85" spans="1:7">
      <c r="A85" s="851"/>
      <c r="B85" s="1686" t="s">
        <v>180</v>
      </c>
      <c r="C85" s="1687">
        <v>1.5</v>
      </c>
      <c r="D85" s="1687" t="s">
        <v>18</v>
      </c>
      <c r="E85" s="1028">
        <f>E84</f>
        <v>575</v>
      </c>
      <c r="F85" s="1687" t="s">
        <v>18</v>
      </c>
      <c r="G85" s="1693">
        <f t="shared" si="15"/>
        <v>862.5</v>
      </c>
    </row>
    <row r="86" spans="1:7">
      <c r="A86" s="851"/>
      <c r="B86" s="1686" t="s">
        <v>964</v>
      </c>
      <c r="C86" s="1687"/>
      <c r="D86" s="1687"/>
      <c r="E86" s="1687"/>
      <c r="F86" s="1687"/>
      <c r="G86" s="851"/>
    </row>
    <row r="87" spans="1:7">
      <c r="A87" s="851"/>
      <c r="B87" s="1686" t="s">
        <v>217</v>
      </c>
      <c r="C87" s="1687">
        <v>50</v>
      </c>
      <c r="D87" s="1687" t="s">
        <v>1062</v>
      </c>
      <c r="E87" s="1028">
        <v>1579</v>
      </c>
      <c r="F87" s="1687" t="s">
        <v>1062</v>
      </c>
      <c r="G87" s="1693">
        <f t="shared" ref="G87:G90" si="16">TRUNC(C87*E87,2)</f>
        <v>78950</v>
      </c>
    </row>
    <row r="88" spans="1:7">
      <c r="A88" s="851"/>
      <c r="B88" s="1686" t="s">
        <v>183</v>
      </c>
      <c r="C88" s="1687">
        <v>0.19400000000000001</v>
      </c>
      <c r="D88" s="1687" t="s">
        <v>1063</v>
      </c>
      <c r="E88" s="1028">
        <f>E68</f>
        <v>5000</v>
      </c>
      <c r="F88" s="1687" t="s">
        <v>1063</v>
      </c>
      <c r="G88" s="1693">
        <f t="shared" si="16"/>
        <v>970</v>
      </c>
    </row>
    <row r="89" spans="1:7">
      <c r="A89" s="851"/>
      <c r="B89" s="1686" t="s">
        <v>185</v>
      </c>
      <c r="C89" s="1687">
        <v>0.13600000000000001</v>
      </c>
      <c r="D89" s="1687" t="s">
        <v>109</v>
      </c>
      <c r="E89" s="1028">
        <f>E69</f>
        <v>1629.9439994719005</v>
      </c>
      <c r="F89" s="1687" t="s">
        <v>109</v>
      </c>
      <c r="G89" s="1693">
        <f t="shared" si="16"/>
        <v>221.67</v>
      </c>
    </row>
    <row r="90" spans="1:7">
      <c r="A90" s="851"/>
      <c r="B90" s="1686" t="s">
        <v>1067</v>
      </c>
      <c r="C90" s="1687">
        <v>18</v>
      </c>
      <c r="D90" s="1687" t="s">
        <v>1064</v>
      </c>
      <c r="E90" s="1028">
        <v>130</v>
      </c>
      <c r="F90" s="1687" t="s">
        <v>1064</v>
      </c>
      <c r="G90" s="1693">
        <f t="shared" si="16"/>
        <v>2340</v>
      </c>
    </row>
    <row r="91" spans="1:7">
      <c r="A91" s="851"/>
      <c r="B91" s="1686" t="s">
        <v>187</v>
      </c>
      <c r="C91" s="1687"/>
      <c r="D91" s="1687"/>
      <c r="E91" s="1687"/>
      <c r="F91" s="1687"/>
      <c r="G91" s="1695">
        <f>SUM(G82:G90)</f>
        <v>89914.17</v>
      </c>
    </row>
    <row r="92" spans="1:7" ht="25.5">
      <c r="A92" s="851"/>
      <c r="B92" s="1686" t="s">
        <v>1065</v>
      </c>
      <c r="C92" s="1690">
        <v>0.01</v>
      </c>
      <c r="D92" s="1687"/>
      <c r="E92" s="1691">
        <f>G91</f>
        <v>89914.17</v>
      </c>
      <c r="F92" s="1687"/>
      <c r="G92" s="1688">
        <f t="shared" ref="G92" si="17">TRUNC(C92*E92,2)</f>
        <v>899.14</v>
      </c>
    </row>
    <row r="93" spans="1:7">
      <c r="A93" s="851"/>
      <c r="B93" s="1686" t="s">
        <v>189</v>
      </c>
      <c r="C93" s="1687"/>
      <c r="D93" s="1687"/>
      <c r="E93" s="1687"/>
      <c r="F93" s="1687"/>
      <c r="G93" s="1695">
        <f>SUM(G91:G92)</f>
        <v>90813.31</v>
      </c>
    </row>
    <row r="94" spans="1:7">
      <c r="A94" s="851"/>
      <c r="B94" s="1686" t="s">
        <v>190</v>
      </c>
      <c r="C94" s="1696">
        <v>0.13614999999999999</v>
      </c>
      <c r="D94" s="1687"/>
      <c r="E94" s="1691">
        <f>G93</f>
        <v>90813.31</v>
      </c>
      <c r="F94" s="1687"/>
      <c r="G94" s="1693">
        <f t="shared" ref="G94" si="18">TRUNC(C94*E94,2)</f>
        <v>12364.23</v>
      </c>
    </row>
    <row r="95" spans="1:7">
      <c r="A95" s="851"/>
      <c r="B95" s="1686" t="s">
        <v>191</v>
      </c>
      <c r="C95" s="1687"/>
      <c r="D95" s="1687"/>
      <c r="E95" s="1687"/>
      <c r="F95" s="1687"/>
      <c r="G95" s="1695">
        <f>SUM(G93:G94)</f>
        <v>103177.54</v>
      </c>
    </row>
    <row r="96" spans="1:7">
      <c r="A96" s="851"/>
      <c r="B96" s="1686" t="s">
        <v>1069</v>
      </c>
      <c r="C96" s="1690">
        <v>0</v>
      </c>
      <c r="D96" s="1687"/>
      <c r="E96" s="1691">
        <f>SUM(G82:G85)</f>
        <v>7432.5</v>
      </c>
      <c r="F96" s="1687"/>
      <c r="G96" s="1693">
        <f t="shared" ref="G96" si="19">TRUNC(C96*E96,2)</f>
        <v>0</v>
      </c>
    </row>
    <row r="97" spans="1:7">
      <c r="A97" s="851"/>
      <c r="B97" s="1686"/>
      <c r="C97" s="1690"/>
      <c r="D97" s="1687"/>
      <c r="E97" s="1691"/>
      <c r="F97" s="1687"/>
      <c r="G97" s="1693">
        <f>SUM(G95:G96)</f>
        <v>103177.54</v>
      </c>
    </row>
    <row r="98" spans="1:7">
      <c r="A98" s="851"/>
      <c r="B98" s="1686" t="s">
        <v>966</v>
      </c>
      <c r="C98" s="1687"/>
      <c r="D98" s="1687"/>
      <c r="E98" s="1687"/>
      <c r="F98" s="1687"/>
      <c r="G98" s="1685">
        <f>TRUNC(G97/30,2)</f>
        <v>3439.25</v>
      </c>
    </row>
    <row r="104" spans="1:7">
      <c r="A104" s="1134" t="str">
        <f>'Datas P7'!B416</f>
        <v>Asst., Engineer</v>
      </c>
      <c r="D104" s="1698" t="str">
        <f>'Datas P7'!D416</f>
        <v>Dy .Executive.Engineer</v>
      </c>
      <c r="F104" s="1033" t="str">
        <f>'Datas P7'!F416</f>
        <v>Executive Engineer</v>
      </c>
    </row>
    <row r="105" spans="1:7">
      <c r="A105" s="1133" t="str">
        <f>'Datas P7'!B417</f>
        <v>PR SD Amangal</v>
      </c>
      <c r="D105" s="1698" t="str">
        <f>'Datas P7'!D417</f>
        <v>PR SD  Amangal</v>
      </c>
      <c r="F105" s="1033" t="str">
        <f>'Datas P7'!F417</f>
        <v>PR Div Ibrahimpatnam</v>
      </c>
    </row>
  </sheetData>
  <mergeCells count="2">
    <mergeCell ref="A1:G1"/>
    <mergeCell ref="B3:G3"/>
  </mergeCells>
  <pageMargins left="0.7" right="0.7" top="0.75" bottom="0.75" header="0.3" footer="0.3"/>
  <pageSetup paperSize="9" scale="99" orientation="portrait" r:id="rId1"/>
</worksheet>
</file>

<file path=xl/worksheets/sheet29.xml><?xml version="1.0" encoding="utf-8"?>
<worksheet xmlns="http://schemas.openxmlformats.org/spreadsheetml/2006/main" xmlns:r="http://schemas.openxmlformats.org/officeDocument/2006/relationships">
  <sheetPr>
    <tabColor rgb="FF00B050"/>
    <pageSetUpPr fitToPage="1"/>
  </sheetPr>
  <dimension ref="A1:Q141"/>
  <sheetViews>
    <sheetView view="pageBreakPreview" topLeftCell="A37" zoomScale="70" zoomScaleSheetLayoutView="70" workbookViewId="0">
      <selection activeCell="A11" sqref="A11:XFD141"/>
    </sheetView>
  </sheetViews>
  <sheetFormatPr defaultColWidth="17.85546875" defaultRowHeight="15"/>
  <cols>
    <col min="1" max="1" width="7.7109375" style="892" bestFit="1" customWidth="1"/>
    <col min="2" max="2" width="26.85546875" style="892" customWidth="1"/>
    <col min="3" max="3" width="10" style="892" customWidth="1"/>
    <col min="4" max="4" width="33.42578125" style="892" customWidth="1"/>
    <col min="5" max="5" width="16.5703125" style="892" customWidth="1"/>
    <col min="6" max="6" width="12.140625" style="892" bestFit="1" customWidth="1"/>
    <col min="7" max="7" width="15.42578125" style="892" bestFit="1" customWidth="1"/>
    <col min="8" max="8" width="15.140625" style="892" customWidth="1"/>
    <col min="9" max="9" width="12.140625" style="892" customWidth="1"/>
    <col min="10" max="10" width="13.7109375" style="892" customWidth="1"/>
    <col min="11" max="11" width="13" style="892" customWidth="1"/>
    <col min="12" max="12" width="13.5703125" style="892" customWidth="1"/>
    <col min="13" max="13" width="13.42578125" style="892" customWidth="1"/>
    <col min="14" max="14" width="14.42578125" style="892" customWidth="1"/>
    <col min="15" max="16384" width="17.85546875" style="892"/>
  </cols>
  <sheetData>
    <row r="1" spans="1:17" ht="20.25">
      <c r="A1" s="1655" t="s">
        <v>1116</v>
      </c>
      <c r="B1" s="1655"/>
      <c r="C1" s="1655"/>
      <c r="D1" s="1655"/>
      <c r="E1" s="1655"/>
      <c r="F1" s="1655"/>
      <c r="G1" s="1655"/>
      <c r="H1" s="1655"/>
      <c r="I1" s="1655"/>
      <c r="J1" s="1655"/>
      <c r="K1" s="1655"/>
      <c r="L1" s="1655"/>
      <c r="M1" s="1655"/>
      <c r="N1" s="1655"/>
    </row>
    <row r="2" spans="1:17" ht="67.5" customHeight="1">
      <c r="A2" s="1658" t="str">
        <f>'Final Estimate'!A2:K2</f>
        <v>Laying of UGD line in Yadava Colony from erukali Laxmaiah (H) to Palle Jangaiah (H) main Road, Mala Kanakaiah (H) to Bollagoni Krishnaiah (H) Main Road, Nune Thirupathaiah (H) to Jilla Manoor (H)main road, Dubbaka Pullaiah (H) to Dubbaku Narsimha (H), Gyoni Jangaiah (H) to Nune Rama Swamy (H), Alli Naraiah (H) to Boyini Peddaiah (H)and Andagulu Sathaiah (H) to Salle Anasuya (H) in Yadava Colony of Madgul (V&amp;M)</v>
      </c>
      <c r="B2" s="1658"/>
      <c r="C2" s="1658"/>
      <c r="D2" s="1658"/>
      <c r="E2" s="1658"/>
      <c r="F2" s="1658"/>
      <c r="G2" s="1658"/>
      <c r="H2" s="1658"/>
      <c r="I2" s="1658"/>
      <c r="J2" s="1658"/>
      <c r="K2" s="1658"/>
      <c r="L2" s="1658"/>
      <c r="M2" s="1658"/>
      <c r="N2" s="1658"/>
    </row>
    <row r="3" spans="1:17" ht="20.25">
      <c r="A3" s="1656" t="s">
        <v>766</v>
      </c>
      <c r="B3" s="1656"/>
      <c r="C3" s="1656"/>
      <c r="D3" s="1656"/>
      <c r="E3" s="1656"/>
      <c r="F3" s="1656"/>
      <c r="G3" s="1332"/>
      <c r="H3" s="1332"/>
      <c r="I3" s="1332"/>
      <c r="J3" s="1332"/>
      <c r="K3" s="1332"/>
      <c r="L3" s="1332"/>
      <c r="M3" s="1332"/>
      <c r="N3" s="1332"/>
    </row>
    <row r="4" spans="1:17" ht="32.25">
      <c r="A4" s="1333"/>
      <c r="B4" s="1333"/>
      <c r="C4" s="1334" t="s">
        <v>767</v>
      </c>
      <c r="D4" s="1334" t="s">
        <v>768</v>
      </c>
      <c r="E4" s="1334" t="s">
        <v>769</v>
      </c>
      <c r="F4" s="1333"/>
      <c r="G4" s="1332"/>
      <c r="H4" s="1332"/>
      <c r="I4" s="1332"/>
      <c r="J4" s="1332"/>
      <c r="K4" s="1332"/>
      <c r="L4" s="1332"/>
      <c r="M4" s="1332"/>
      <c r="N4" s="1332"/>
    </row>
    <row r="5" spans="1:17" ht="20.25">
      <c r="A5" s="1333"/>
      <c r="B5" s="1334" t="s">
        <v>770</v>
      </c>
      <c r="C5" s="1335">
        <v>43.7</v>
      </c>
      <c r="D5" s="1335">
        <v>42.1</v>
      </c>
      <c r="E5" s="1335">
        <v>70.2</v>
      </c>
      <c r="F5" s="1333"/>
      <c r="G5" s="1332"/>
      <c r="H5" s="1332"/>
      <c r="I5" s="1332"/>
      <c r="J5" s="1332"/>
      <c r="K5" s="1332"/>
      <c r="L5" s="1332"/>
      <c r="M5" s="1332"/>
      <c r="N5" s="1332"/>
    </row>
    <row r="6" spans="1:17" ht="20.25">
      <c r="A6" s="1336"/>
      <c r="B6" s="1337" t="s">
        <v>633</v>
      </c>
      <c r="C6" s="1338">
        <v>116.5</v>
      </c>
      <c r="D6" s="1338">
        <v>116.5</v>
      </c>
      <c r="E6" s="1338">
        <v>187.2</v>
      </c>
      <c r="F6" s="1336"/>
      <c r="G6" s="1332"/>
      <c r="H6" s="1332"/>
      <c r="I6" s="1332"/>
      <c r="J6" s="1332"/>
      <c r="K6" s="1332"/>
      <c r="L6" s="1332"/>
      <c r="M6" s="1332"/>
      <c r="N6" s="1332"/>
    </row>
    <row r="7" spans="1:17" ht="32.25">
      <c r="A7" s="1336"/>
      <c r="B7" s="1334" t="s">
        <v>634</v>
      </c>
      <c r="C7" s="1338">
        <v>17.5</v>
      </c>
      <c r="D7" s="1338">
        <v>17.5</v>
      </c>
      <c r="E7" s="1338">
        <v>28.1</v>
      </c>
      <c r="F7" s="1336"/>
      <c r="G7" s="1332"/>
      <c r="H7" s="1332"/>
      <c r="I7" s="1332"/>
      <c r="J7" s="1332"/>
      <c r="K7" s="1332"/>
      <c r="L7" s="1332"/>
      <c r="M7" s="1332"/>
      <c r="N7" s="1332"/>
    </row>
    <row r="8" spans="1:17" ht="32.25">
      <c r="A8" s="1336"/>
      <c r="B8" s="1334" t="s">
        <v>635</v>
      </c>
      <c r="C8" s="1338">
        <v>14.6</v>
      </c>
      <c r="D8" s="1338">
        <v>14.6</v>
      </c>
      <c r="E8" s="1338">
        <v>23.4</v>
      </c>
      <c r="F8" s="1336"/>
      <c r="G8" s="1332"/>
      <c r="H8" s="1332"/>
      <c r="I8" s="1332"/>
      <c r="J8" s="1332"/>
      <c r="K8" s="1332"/>
      <c r="L8" s="1332"/>
      <c r="M8" s="1332"/>
      <c r="N8" s="1332"/>
    </row>
    <row r="9" spans="1:17" ht="18.75">
      <c r="A9" s="1339"/>
      <c r="B9" s="1340"/>
      <c r="C9" s="1339"/>
      <c r="D9" s="1339"/>
      <c r="E9" s="1339"/>
      <c r="F9" s="1339"/>
      <c r="G9" s="1339"/>
      <c r="H9" s="1339"/>
      <c r="I9" s="1657"/>
      <c r="J9" s="1657"/>
      <c r="K9" s="1341"/>
      <c r="L9" s="1341"/>
      <c r="M9" s="1341"/>
      <c r="N9" s="1342"/>
    </row>
    <row r="10" spans="1:17" ht="51">
      <c r="A10" s="590" t="s">
        <v>758</v>
      </c>
      <c r="B10" s="1343" t="s">
        <v>771</v>
      </c>
      <c r="C10" s="590" t="s">
        <v>9</v>
      </c>
      <c r="D10" s="590" t="s">
        <v>772</v>
      </c>
      <c r="E10" s="590" t="s">
        <v>773</v>
      </c>
      <c r="F10" s="590" t="s">
        <v>774</v>
      </c>
      <c r="G10" s="590" t="s">
        <v>775</v>
      </c>
      <c r="H10" s="590" t="s">
        <v>776</v>
      </c>
      <c r="I10" s="590" t="s">
        <v>777</v>
      </c>
      <c r="J10" s="590" t="s">
        <v>778</v>
      </c>
      <c r="K10" s="590" t="s">
        <v>878</v>
      </c>
      <c r="L10" s="590" t="s">
        <v>879</v>
      </c>
      <c r="M10" s="590" t="s">
        <v>941</v>
      </c>
      <c r="N10" s="590" t="s">
        <v>779</v>
      </c>
    </row>
    <row r="11" spans="1:17" s="1388" customFormat="1" ht="51">
      <c r="A11" s="610">
        <v>1</v>
      </c>
      <c r="B11" s="598" t="s">
        <v>880</v>
      </c>
      <c r="C11" s="610" t="s">
        <v>109</v>
      </c>
      <c r="D11" s="611" t="s">
        <v>780</v>
      </c>
      <c r="E11" s="597">
        <v>82</v>
      </c>
      <c r="F11" s="597">
        <v>695</v>
      </c>
      <c r="G11" s="597">
        <f>IF(E11&gt;30,($C$6-$C$5+(25*$C$7)+((E11-30)*$C$8))/1.13615,(($C$6-$C$5+((E11-5)*$C$7))/1.13615))</f>
        <v>1117.3700655723276</v>
      </c>
      <c r="H11" s="597">
        <v>0</v>
      </c>
      <c r="I11" s="597">
        <v>0</v>
      </c>
      <c r="J11" s="597">
        <v>0</v>
      </c>
      <c r="K11" s="597">
        <v>0</v>
      </c>
      <c r="L11" s="597">
        <v>0</v>
      </c>
      <c r="M11" s="597"/>
      <c r="N11" s="891">
        <f>J11+I11-H11+G11+F11+K11+L11+M11</f>
        <v>1812.3700655723276</v>
      </c>
      <c r="P11" s="1389"/>
    </row>
    <row r="12" spans="1:17" s="1388" customFormat="1" ht="51">
      <c r="A12" s="610"/>
      <c r="B12" s="598" t="s">
        <v>881</v>
      </c>
      <c r="C12" s="610" t="s">
        <v>109</v>
      </c>
      <c r="D12" s="611" t="s">
        <v>780</v>
      </c>
      <c r="E12" s="597">
        <v>82</v>
      </c>
      <c r="F12" s="597">
        <v>695</v>
      </c>
      <c r="G12" s="597">
        <f>IF(E12&gt;30,($C$6-$C$5+(25*$C$7)+((E12-30)*$C$8))/1.13615,(($C$6-$C$5+((E12-5)*$C$7))/1.13615))</f>
        <v>1117.3700655723276</v>
      </c>
      <c r="H12" s="597">
        <v>0</v>
      </c>
      <c r="I12" s="597">
        <v>0</v>
      </c>
      <c r="J12" s="597">
        <v>0</v>
      </c>
      <c r="K12" s="597">
        <v>0</v>
      </c>
      <c r="L12" s="597">
        <v>0</v>
      </c>
      <c r="M12" s="597"/>
      <c r="N12" s="891">
        <f t="shared" ref="N12:N46" si="0">J12+I12-H12+G12+F12+K12+L12+M12</f>
        <v>1812.3700655723276</v>
      </c>
      <c r="P12" s="1389"/>
    </row>
    <row r="13" spans="1:17" s="1388" customFormat="1" ht="63.75">
      <c r="A13" s="610">
        <v>2</v>
      </c>
      <c r="B13" s="598" t="s">
        <v>781</v>
      </c>
      <c r="C13" s="610" t="s">
        <v>109</v>
      </c>
      <c r="D13" s="611" t="s">
        <v>782</v>
      </c>
      <c r="E13" s="597">
        <v>82</v>
      </c>
      <c r="F13" s="597">
        <v>915</v>
      </c>
      <c r="G13" s="597">
        <f>IF(E13&gt;30,($C$6-$C$5+(25*$C$7)+((E13-30)*$C$8))/1.13615,(($C$6-$C$5+((E13-5)*$C$7))/1.13615))</f>
        <v>1117.3700655723276</v>
      </c>
      <c r="H13" s="597">
        <v>0</v>
      </c>
      <c r="I13" s="597">
        <v>0</v>
      </c>
      <c r="J13" s="597">
        <v>0</v>
      </c>
      <c r="K13" s="597">
        <v>0</v>
      </c>
      <c r="L13" s="597">
        <v>0</v>
      </c>
      <c r="M13" s="597"/>
      <c r="N13" s="891">
        <f t="shared" si="0"/>
        <v>2032.3700655723276</v>
      </c>
      <c r="O13" s="1388">
        <f>(116.5+(25*17.5)+(52*14.6))/1.13615</f>
        <v>1155.8332966597718</v>
      </c>
      <c r="P13" s="1389">
        <f>C5/1.13615</f>
        <v>38.463231087444441</v>
      </c>
      <c r="Q13" s="1389">
        <f>O13-P13</f>
        <v>1117.3700655723273</v>
      </c>
    </row>
    <row r="14" spans="1:17" s="1388" customFormat="1" ht="25.5">
      <c r="A14" s="610">
        <v>3</v>
      </c>
      <c r="B14" s="598" t="s">
        <v>789</v>
      </c>
      <c r="C14" s="610" t="s">
        <v>109</v>
      </c>
      <c r="D14" s="611" t="s">
        <v>783</v>
      </c>
      <c r="E14" s="597">
        <v>57</v>
      </c>
      <c r="F14" s="597">
        <v>709</v>
      </c>
      <c r="G14" s="597">
        <f>IF(E14&gt;30,($C$6-$D$5+(25*$C$7)+((E14-30)*$C$8))/1.13615,(($C$6-$D$5+((E14-5)*$C$7))/1.13615))</f>
        <v>797.51793337147376</v>
      </c>
      <c r="H14" s="597">
        <v>0</v>
      </c>
      <c r="I14" s="1344">
        <f>ROUND((0.25*(F14-100)),2)</f>
        <v>152.25</v>
      </c>
      <c r="J14" s="597">
        <v>0</v>
      </c>
      <c r="K14" s="597">
        <v>0</v>
      </c>
      <c r="L14" s="597">
        <v>0</v>
      </c>
      <c r="M14" s="597"/>
      <c r="N14" s="1390">
        <f>J14+I14-H14+G14+F14+K14+L14+M14</f>
        <v>1658.7679333714736</v>
      </c>
      <c r="O14" s="1388">
        <f>(116.5+(25*17.5)+(27*14.6))/1.13615</f>
        <v>834.57289970514466</v>
      </c>
      <c r="P14" s="1389"/>
    </row>
    <row r="15" spans="1:17" s="1388" customFormat="1" ht="51">
      <c r="A15" s="610">
        <v>3</v>
      </c>
      <c r="B15" s="598" t="s">
        <v>784</v>
      </c>
      <c r="C15" s="610" t="s">
        <v>109</v>
      </c>
      <c r="D15" s="611" t="s">
        <v>785</v>
      </c>
      <c r="E15" s="597">
        <v>57</v>
      </c>
      <c r="F15" s="597">
        <v>650</v>
      </c>
      <c r="G15" s="597">
        <f>IF(E15&gt;30,($C$6-$D$5+(25*$C$7)+((E15-30)*$C$8))/1.13615,(($C$6-$D$5+((E15-5)*$C$7))/1.13615))</f>
        <v>797.51793337147376</v>
      </c>
      <c r="H15" s="597">
        <v>0</v>
      </c>
      <c r="I15" s="597">
        <v>0</v>
      </c>
      <c r="J15" s="597">
        <v>0</v>
      </c>
      <c r="K15" s="597">
        <v>0</v>
      </c>
      <c r="L15" s="597">
        <v>0</v>
      </c>
      <c r="M15" s="597"/>
      <c r="N15" s="1390">
        <f>J15+I15-H15+G15+F15+K15+L15+M15</f>
        <v>1447.5179333714736</v>
      </c>
      <c r="P15" s="1389"/>
    </row>
    <row r="16" spans="1:17" s="1388" customFormat="1" ht="25.5">
      <c r="A16" s="610"/>
      <c r="B16" s="598" t="s">
        <v>1410</v>
      </c>
      <c r="C16" s="610" t="s">
        <v>109</v>
      </c>
      <c r="D16" s="611"/>
      <c r="E16" s="597"/>
      <c r="F16" s="597"/>
      <c r="G16" s="597"/>
      <c r="H16" s="597"/>
      <c r="I16" s="597"/>
      <c r="J16" s="597"/>
      <c r="K16" s="597"/>
      <c r="L16" s="597"/>
      <c r="M16" s="597"/>
      <c r="N16" s="891">
        <f>AVERAGE(N15,N12)</f>
        <v>1629.9439994719005</v>
      </c>
      <c r="O16" s="1388" t="s">
        <v>1411</v>
      </c>
      <c r="P16" s="1389"/>
    </row>
    <row r="17" spans="1:17" s="1388" customFormat="1" ht="25.5">
      <c r="A17" s="610"/>
      <c r="B17" s="598" t="s">
        <v>787</v>
      </c>
      <c r="C17" s="610" t="s">
        <v>109</v>
      </c>
      <c r="D17" s="611"/>
      <c r="E17" s="597"/>
      <c r="F17" s="597"/>
      <c r="G17" s="597"/>
      <c r="H17" s="597"/>
      <c r="I17" s="597"/>
      <c r="J17" s="597"/>
      <c r="K17" s="597"/>
      <c r="L17" s="597"/>
      <c r="M17" s="597"/>
      <c r="N17" s="891">
        <f>AVERAGE(N13,N15)</f>
        <v>1739.9439994719005</v>
      </c>
      <c r="P17" s="1389"/>
    </row>
    <row r="18" spans="1:17" s="1388" customFormat="1">
      <c r="A18" s="610"/>
      <c r="B18" s="598" t="s">
        <v>788</v>
      </c>
      <c r="C18" s="610" t="s">
        <v>109</v>
      </c>
      <c r="D18" s="611"/>
      <c r="E18" s="597"/>
      <c r="F18" s="597"/>
      <c r="G18" s="597"/>
      <c r="H18" s="597"/>
      <c r="I18" s="597"/>
      <c r="J18" s="597"/>
      <c r="K18" s="597"/>
      <c r="L18" s="597"/>
      <c r="M18" s="597"/>
      <c r="N18" s="891">
        <f>AVERAGE(N11,N15)</f>
        <v>1629.9439994719005</v>
      </c>
      <c r="P18" s="1389"/>
    </row>
    <row r="19" spans="1:17" s="1388" customFormat="1" ht="20.25" customHeight="1">
      <c r="A19" s="610">
        <v>4</v>
      </c>
      <c r="B19" s="890" t="s">
        <v>790</v>
      </c>
      <c r="C19" s="610" t="s">
        <v>109</v>
      </c>
      <c r="D19" s="611" t="s">
        <v>791</v>
      </c>
      <c r="E19" s="597">
        <v>57</v>
      </c>
      <c r="F19" s="597">
        <v>883</v>
      </c>
      <c r="G19" s="597">
        <f>IF(E19&gt;30,($C$6-$D$5+(25*$C$7)+((E19-30)*$C$8))/1.13615,(($C$6-$D$5+((E19-5)*$C$7))/1.13615))</f>
        <v>797.51793337147376</v>
      </c>
      <c r="H19" s="597">
        <v>0</v>
      </c>
      <c r="I19" s="597"/>
      <c r="J19" s="597"/>
      <c r="K19" s="597">
        <v>0</v>
      </c>
      <c r="L19" s="597">
        <v>0</v>
      </c>
      <c r="M19" s="597"/>
      <c r="N19" s="891">
        <f t="shared" si="0"/>
        <v>1680.5179333714736</v>
      </c>
      <c r="P19" s="1389"/>
    </row>
    <row r="20" spans="1:17" s="1388" customFormat="1" ht="20.25" customHeight="1">
      <c r="A20" s="610">
        <v>5</v>
      </c>
      <c r="B20" s="890" t="s">
        <v>792</v>
      </c>
      <c r="C20" s="610" t="s">
        <v>109</v>
      </c>
      <c r="D20" s="611" t="s">
        <v>793</v>
      </c>
      <c r="E20" s="597">
        <f>E19</f>
        <v>57</v>
      </c>
      <c r="F20" s="597">
        <v>900</v>
      </c>
      <c r="G20" s="597">
        <f t="shared" ref="G20:G41" si="1">IF(E20&gt;30,($C$6-$D$5+(25*$C$7)+((E20-30)*$C$8))/1.13615,(($C$6-$D$5+((E20-5)*$C$7))/1.13615))</f>
        <v>797.51793337147376</v>
      </c>
      <c r="H20" s="597">
        <v>0</v>
      </c>
      <c r="I20" s="597"/>
      <c r="J20" s="597"/>
      <c r="K20" s="597">
        <v>0</v>
      </c>
      <c r="L20" s="597">
        <v>0</v>
      </c>
      <c r="M20" s="597"/>
      <c r="N20" s="891">
        <f t="shared" si="0"/>
        <v>1697.5179333714736</v>
      </c>
      <c r="P20" s="1389"/>
    </row>
    <row r="21" spans="1:17" s="1388" customFormat="1" ht="20.25" customHeight="1">
      <c r="A21" s="610">
        <v>6</v>
      </c>
      <c r="B21" s="890" t="s">
        <v>794</v>
      </c>
      <c r="C21" s="610" t="s">
        <v>109</v>
      </c>
      <c r="D21" s="611" t="s">
        <v>795</v>
      </c>
      <c r="E21" s="597">
        <f t="shared" ref="E21:E30" si="2">E20</f>
        <v>57</v>
      </c>
      <c r="F21" s="597">
        <v>957</v>
      </c>
      <c r="G21" s="597">
        <f t="shared" si="1"/>
        <v>797.51793337147376</v>
      </c>
      <c r="H21" s="597">
        <v>0</v>
      </c>
      <c r="I21" s="597"/>
      <c r="J21" s="597"/>
      <c r="K21" s="597">
        <v>0</v>
      </c>
      <c r="L21" s="597">
        <v>0</v>
      </c>
      <c r="M21" s="597"/>
      <c r="N21" s="891">
        <f t="shared" si="0"/>
        <v>1754.5179333714736</v>
      </c>
      <c r="O21" s="1389"/>
      <c r="P21" s="1389"/>
    </row>
    <row r="22" spans="1:17" s="1388" customFormat="1" ht="20.25" customHeight="1">
      <c r="A22" s="610">
        <v>7</v>
      </c>
      <c r="B22" s="890" t="s">
        <v>796</v>
      </c>
      <c r="C22" s="610" t="s">
        <v>109</v>
      </c>
      <c r="D22" s="611" t="s">
        <v>797</v>
      </c>
      <c r="E22" s="597">
        <f t="shared" si="2"/>
        <v>57</v>
      </c>
      <c r="F22" s="597">
        <v>1057</v>
      </c>
      <c r="G22" s="597">
        <f t="shared" si="1"/>
        <v>797.51793337147376</v>
      </c>
      <c r="H22" s="597">
        <v>0</v>
      </c>
      <c r="I22" s="597"/>
      <c r="J22" s="597"/>
      <c r="K22" s="597">
        <v>0</v>
      </c>
      <c r="L22" s="597">
        <v>0</v>
      </c>
      <c r="M22" s="597"/>
      <c r="N22" s="891">
        <f t="shared" si="0"/>
        <v>1854.5179333714736</v>
      </c>
      <c r="P22" s="1389"/>
    </row>
    <row r="23" spans="1:17" s="1388" customFormat="1" ht="20.25" customHeight="1">
      <c r="A23" s="610">
        <v>8</v>
      </c>
      <c r="B23" s="890" t="s">
        <v>798</v>
      </c>
      <c r="C23" s="610" t="s">
        <v>109</v>
      </c>
      <c r="D23" s="611" t="s">
        <v>799</v>
      </c>
      <c r="E23" s="597">
        <f t="shared" si="2"/>
        <v>57</v>
      </c>
      <c r="F23" s="597">
        <v>1208</v>
      </c>
      <c r="G23" s="597">
        <f t="shared" si="1"/>
        <v>797.51793337147376</v>
      </c>
      <c r="H23" s="597">
        <v>0</v>
      </c>
      <c r="I23" s="597"/>
      <c r="J23" s="597"/>
      <c r="K23" s="597">
        <v>0</v>
      </c>
      <c r="L23" s="597">
        <v>0</v>
      </c>
      <c r="M23" s="597"/>
      <c r="N23" s="891">
        <f t="shared" si="0"/>
        <v>2005.5179333714736</v>
      </c>
      <c r="P23" s="1389"/>
    </row>
    <row r="24" spans="1:17" s="1388" customFormat="1" ht="20.25" customHeight="1">
      <c r="A24" s="610">
        <v>9</v>
      </c>
      <c r="B24" s="890" t="s">
        <v>800</v>
      </c>
      <c r="C24" s="610" t="s">
        <v>109</v>
      </c>
      <c r="D24" s="611" t="s">
        <v>801</v>
      </c>
      <c r="E24" s="597">
        <f t="shared" si="2"/>
        <v>57</v>
      </c>
      <c r="F24" s="597">
        <v>1098</v>
      </c>
      <c r="G24" s="597">
        <f t="shared" si="1"/>
        <v>797.51793337147376</v>
      </c>
      <c r="H24" s="597">
        <v>0</v>
      </c>
      <c r="I24" s="597"/>
      <c r="J24" s="597"/>
      <c r="K24" s="597">
        <v>0</v>
      </c>
      <c r="L24" s="597">
        <v>0</v>
      </c>
      <c r="M24" s="597"/>
      <c r="N24" s="891">
        <f t="shared" si="0"/>
        <v>1895.5179333714736</v>
      </c>
      <c r="O24" s="1389"/>
      <c r="P24" s="1389"/>
    </row>
    <row r="25" spans="1:17" s="1388" customFormat="1" ht="20.25" customHeight="1">
      <c r="A25" s="610">
        <v>10</v>
      </c>
      <c r="B25" s="890" t="s">
        <v>802</v>
      </c>
      <c r="C25" s="610" t="s">
        <v>109</v>
      </c>
      <c r="D25" s="611" t="s">
        <v>803</v>
      </c>
      <c r="E25" s="597">
        <f t="shared" si="2"/>
        <v>57</v>
      </c>
      <c r="F25" s="597">
        <v>909</v>
      </c>
      <c r="G25" s="597">
        <f t="shared" si="1"/>
        <v>797.51793337147376</v>
      </c>
      <c r="H25" s="597">
        <v>0</v>
      </c>
      <c r="I25" s="597"/>
      <c r="J25" s="597"/>
      <c r="K25" s="597">
        <v>0</v>
      </c>
      <c r="L25" s="597">
        <v>0</v>
      </c>
      <c r="M25" s="597"/>
      <c r="N25" s="891">
        <f t="shared" si="0"/>
        <v>1706.5179333714736</v>
      </c>
      <c r="P25" s="1389">
        <f>N21+N22+N23+N24</f>
        <v>7510.0717334858946</v>
      </c>
    </row>
    <row r="26" spans="1:17" s="1346" customFormat="1" ht="20.25" customHeight="1">
      <c r="A26" s="1345">
        <v>11</v>
      </c>
      <c r="B26" s="1391" t="s">
        <v>804</v>
      </c>
      <c r="C26" s="1392" t="s">
        <v>109</v>
      </c>
      <c r="D26" s="1393" t="s">
        <v>805</v>
      </c>
      <c r="E26" s="1394">
        <f t="shared" si="2"/>
        <v>57</v>
      </c>
      <c r="F26" s="1394">
        <v>655</v>
      </c>
      <c r="G26" s="1394">
        <f t="shared" si="1"/>
        <v>797.51793337147376</v>
      </c>
      <c r="H26" s="1394">
        <v>0</v>
      </c>
      <c r="I26" s="1394">
        <v>0</v>
      </c>
      <c r="J26" s="1394"/>
      <c r="K26" s="1394">
        <v>0</v>
      </c>
      <c r="L26" s="1394">
        <v>0</v>
      </c>
      <c r="M26" s="1394"/>
      <c r="N26" s="1390">
        <f t="shared" si="0"/>
        <v>1452.5179333714736</v>
      </c>
      <c r="P26" s="1347">
        <f>P25/4</f>
        <v>1877.5179333714736</v>
      </c>
    </row>
    <row r="27" spans="1:17" s="1346" customFormat="1" ht="20.25" customHeight="1">
      <c r="A27" s="1345">
        <v>12</v>
      </c>
      <c r="B27" s="1391" t="s">
        <v>806</v>
      </c>
      <c r="C27" s="1392" t="s">
        <v>109</v>
      </c>
      <c r="D27" s="1393" t="s">
        <v>807</v>
      </c>
      <c r="E27" s="1394">
        <f t="shared" si="2"/>
        <v>57</v>
      </c>
      <c r="F27" s="1394">
        <v>544</v>
      </c>
      <c r="G27" s="1394">
        <f t="shared" si="1"/>
        <v>797.51793337147376</v>
      </c>
      <c r="H27" s="1394">
        <v>0</v>
      </c>
      <c r="I27" s="1394">
        <v>0</v>
      </c>
      <c r="J27" s="1394"/>
      <c r="K27" s="1394">
        <v>0</v>
      </c>
      <c r="L27" s="1394">
        <v>0</v>
      </c>
      <c r="M27" s="1394"/>
      <c r="N27" s="1390">
        <f t="shared" si="0"/>
        <v>1341.5179333714736</v>
      </c>
      <c r="O27" s="1348"/>
      <c r="P27" s="1348"/>
    </row>
    <row r="28" spans="1:17" s="1346" customFormat="1" ht="20.25" customHeight="1">
      <c r="A28" s="1345">
        <v>13</v>
      </c>
      <c r="B28" s="1391" t="s">
        <v>808</v>
      </c>
      <c r="C28" s="1392" t="s">
        <v>109</v>
      </c>
      <c r="D28" s="1393" t="s">
        <v>809</v>
      </c>
      <c r="E28" s="1394">
        <f t="shared" si="2"/>
        <v>57</v>
      </c>
      <c r="F28" s="1394">
        <v>493</v>
      </c>
      <c r="G28" s="1394">
        <f t="shared" si="1"/>
        <v>797.51793337147376</v>
      </c>
      <c r="H28" s="1394">
        <v>0</v>
      </c>
      <c r="I28" s="1394">
        <v>0</v>
      </c>
      <c r="J28" s="1394"/>
      <c r="K28" s="1394">
        <v>0</v>
      </c>
      <c r="L28" s="1394">
        <v>0</v>
      </c>
      <c r="M28" s="1394"/>
      <c r="N28" s="1390">
        <f t="shared" si="0"/>
        <v>1290.5179333714736</v>
      </c>
      <c r="P28" s="1348"/>
      <c r="Q28" s="1349">
        <v>0.13614999999999999</v>
      </c>
    </row>
    <row r="29" spans="1:17" s="1346" customFormat="1" ht="20.25" customHeight="1">
      <c r="A29" s="1345">
        <v>14</v>
      </c>
      <c r="B29" s="1391" t="s">
        <v>810</v>
      </c>
      <c r="C29" s="1392" t="s">
        <v>109</v>
      </c>
      <c r="D29" s="1393" t="s">
        <v>811</v>
      </c>
      <c r="E29" s="1394">
        <f t="shared" si="2"/>
        <v>57</v>
      </c>
      <c r="F29" s="1394">
        <v>443</v>
      </c>
      <c r="G29" s="1394">
        <f t="shared" si="1"/>
        <v>797.51793337147376</v>
      </c>
      <c r="H29" s="1394">
        <v>0</v>
      </c>
      <c r="I29" s="1394">
        <v>0</v>
      </c>
      <c r="J29" s="1394"/>
      <c r="K29" s="1394">
        <v>0</v>
      </c>
      <c r="L29" s="1394">
        <v>0</v>
      </c>
      <c r="M29" s="1394"/>
      <c r="N29" s="1390">
        <f t="shared" si="0"/>
        <v>1240.5179333714736</v>
      </c>
      <c r="P29" s="1348"/>
    </row>
    <row r="30" spans="1:17" s="1346" customFormat="1" ht="20.25" customHeight="1">
      <c r="A30" s="1345">
        <v>15</v>
      </c>
      <c r="B30" s="1395" t="s">
        <v>812</v>
      </c>
      <c r="C30" s="1392" t="s">
        <v>109</v>
      </c>
      <c r="D30" s="1393" t="s">
        <v>813</v>
      </c>
      <c r="E30" s="1394">
        <f t="shared" si="2"/>
        <v>57</v>
      </c>
      <c r="F30" s="1394">
        <v>100</v>
      </c>
      <c r="G30" s="1394">
        <f t="shared" si="1"/>
        <v>797.51793337147376</v>
      </c>
      <c r="H30" s="1394">
        <v>0</v>
      </c>
      <c r="I30" s="1394">
        <v>0</v>
      </c>
      <c r="J30" s="1394"/>
      <c r="K30" s="1394">
        <v>0</v>
      </c>
      <c r="L30" s="1394">
        <v>0</v>
      </c>
      <c r="M30" s="1394"/>
      <c r="N30" s="1390">
        <f t="shared" si="0"/>
        <v>897.51793337147376</v>
      </c>
      <c r="O30" s="1348"/>
      <c r="P30" s="1348"/>
    </row>
    <row r="31" spans="1:17" s="1388" customFormat="1" ht="20.25" customHeight="1">
      <c r="A31" s="610">
        <v>16</v>
      </c>
      <c r="B31" s="890" t="s">
        <v>42</v>
      </c>
      <c r="C31" s="610" t="s">
        <v>109</v>
      </c>
      <c r="D31" s="611" t="s">
        <v>814</v>
      </c>
      <c r="E31" s="597">
        <v>10</v>
      </c>
      <c r="F31" s="597">
        <v>109</v>
      </c>
      <c r="G31" s="1394">
        <f>IF(E31&gt;30,($C$6-$D$5+(25*$C$7)+((E31-30)*$C$8))/1.13615,(($C$6-$D$5+((E31-5)*$C$7))/1.13615))</f>
        <v>142.49878977247724</v>
      </c>
      <c r="H31" s="597">
        <v>0</v>
      </c>
      <c r="I31" s="597">
        <v>0</v>
      </c>
      <c r="J31" s="597">
        <v>0</v>
      </c>
      <c r="K31" s="597">
        <v>0</v>
      </c>
      <c r="L31" s="597">
        <v>0</v>
      </c>
      <c r="M31" s="597"/>
      <c r="N31" s="891">
        <f t="shared" si="0"/>
        <v>251.49878977247724</v>
      </c>
      <c r="P31" s="1389"/>
    </row>
    <row r="32" spans="1:17" s="1388" customFormat="1" ht="20.25" customHeight="1">
      <c r="A32" s="610">
        <v>17</v>
      </c>
      <c r="B32" s="598" t="s">
        <v>815</v>
      </c>
      <c r="C32" s="610" t="s">
        <v>109</v>
      </c>
      <c r="D32" s="611" t="s">
        <v>816</v>
      </c>
      <c r="E32" s="597">
        <f>E30</f>
        <v>57</v>
      </c>
      <c r="F32" s="597">
        <v>85</v>
      </c>
      <c r="G32" s="597">
        <f t="shared" si="1"/>
        <v>797.51793337147376</v>
      </c>
      <c r="H32" s="597">
        <v>0</v>
      </c>
      <c r="I32" s="597">
        <v>0</v>
      </c>
      <c r="J32" s="597">
        <v>0</v>
      </c>
      <c r="K32" s="597">
        <v>0</v>
      </c>
      <c r="L32" s="597">
        <v>0</v>
      </c>
      <c r="M32" s="597"/>
      <c r="N32" s="891">
        <f t="shared" si="0"/>
        <v>882.51793337147376</v>
      </c>
      <c r="P32" s="1389"/>
    </row>
    <row r="33" spans="1:17" s="1388" customFormat="1" ht="20.25" customHeight="1">
      <c r="A33" s="610">
        <v>18</v>
      </c>
      <c r="B33" s="890" t="s">
        <v>817</v>
      </c>
      <c r="C33" s="610" t="s">
        <v>109</v>
      </c>
      <c r="D33" s="611" t="s">
        <v>797</v>
      </c>
      <c r="E33" s="597">
        <f>E32</f>
        <v>57</v>
      </c>
      <c r="F33" s="597">
        <v>1208</v>
      </c>
      <c r="G33" s="597">
        <f t="shared" si="1"/>
        <v>797.51793337147376</v>
      </c>
      <c r="H33" s="597"/>
      <c r="I33" s="597"/>
      <c r="J33" s="597"/>
      <c r="K33" s="597"/>
      <c r="L33" s="597"/>
      <c r="M33" s="597"/>
      <c r="N33" s="891">
        <f t="shared" si="0"/>
        <v>2005.5179333714736</v>
      </c>
      <c r="P33" s="1389"/>
    </row>
    <row r="34" spans="1:17" s="1388" customFormat="1" ht="20.25" customHeight="1">
      <c r="A34" s="610" t="s">
        <v>1114</v>
      </c>
      <c r="B34" s="890" t="s">
        <v>1115</v>
      </c>
      <c r="C34" s="610" t="s">
        <v>109</v>
      </c>
      <c r="D34" s="611" t="s">
        <v>797</v>
      </c>
      <c r="E34" s="597">
        <f t="shared" ref="E34:E41" si="3">E33</f>
        <v>57</v>
      </c>
      <c r="F34" s="597">
        <v>1098</v>
      </c>
      <c r="G34" s="597">
        <f t="shared" si="1"/>
        <v>797.51793337147376</v>
      </c>
      <c r="H34" s="597"/>
      <c r="I34" s="597"/>
      <c r="J34" s="597"/>
      <c r="K34" s="597"/>
      <c r="L34" s="597"/>
      <c r="M34" s="597"/>
      <c r="N34" s="891">
        <f t="shared" si="0"/>
        <v>1895.5179333714736</v>
      </c>
      <c r="O34" s="1388">
        <v>2018.7509131716763</v>
      </c>
      <c r="P34" s="1389">
        <f t="shared" ref="P34" si="4">N34-O34</f>
        <v>-123.23297980020266</v>
      </c>
    </row>
    <row r="35" spans="1:17" s="1388" customFormat="1" ht="20.25" customHeight="1">
      <c r="A35" s="610">
        <v>19</v>
      </c>
      <c r="B35" s="890" t="s">
        <v>818</v>
      </c>
      <c r="C35" s="610" t="s">
        <v>109</v>
      </c>
      <c r="D35" s="611" t="s">
        <v>799</v>
      </c>
      <c r="E35" s="597">
        <f t="shared" si="3"/>
        <v>57</v>
      </c>
      <c r="F35" s="597">
        <v>909</v>
      </c>
      <c r="G35" s="597">
        <f t="shared" si="1"/>
        <v>797.51793337147376</v>
      </c>
      <c r="H35" s="597"/>
      <c r="I35" s="597"/>
      <c r="J35" s="597"/>
      <c r="K35" s="597"/>
      <c r="L35" s="597"/>
      <c r="M35" s="597"/>
      <c r="N35" s="891">
        <f>J35+I35-H35+G35+F35+K35+L35+M35</f>
        <v>1706.5179333714736</v>
      </c>
      <c r="P35" s="1389"/>
    </row>
    <row r="36" spans="1:17" s="1388" customFormat="1" ht="20.25" customHeight="1">
      <c r="A36" s="610">
        <v>20</v>
      </c>
      <c r="B36" s="890" t="s">
        <v>819</v>
      </c>
      <c r="C36" s="610" t="s">
        <v>109</v>
      </c>
      <c r="D36" s="611" t="s">
        <v>820</v>
      </c>
      <c r="E36" s="597">
        <f t="shared" si="3"/>
        <v>57</v>
      </c>
      <c r="F36" s="597">
        <v>957</v>
      </c>
      <c r="G36" s="597">
        <f t="shared" si="1"/>
        <v>797.51793337147376</v>
      </c>
      <c r="H36" s="597"/>
      <c r="I36" s="597"/>
      <c r="J36" s="597"/>
      <c r="K36" s="597"/>
      <c r="L36" s="597"/>
      <c r="M36" s="597"/>
      <c r="N36" s="891">
        <f t="shared" si="0"/>
        <v>1754.5179333714736</v>
      </c>
      <c r="P36" s="1389"/>
    </row>
    <row r="37" spans="1:17" s="1388" customFormat="1" ht="20.25" customHeight="1">
      <c r="A37" s="610">
        <v>21</v>
      </c>
      <c r="B37" s="890" t="s">
        <v>821</v>
      </c>
      <c r="C37" s="610" t="s">
        <v>109</v>
      </c>
      <c r="D37" s="611" t="s">
        <v>822</v>
      </c>
      <c r="E37" s="597">
        <f t="shared" si="3"/>
        <v>57</v>
      </c>
      <c r="F37" s="597">
        <v>265</v>
      </c>
      <c r="G37" s="597">
        <f t="shared" si="1"/>
        <v>797.51793337147376</v>
      </c>
      <c r="H37" s="597">
        <v>0</v>
      </c>
      <c r="I37" s="597">
        <v>0</v>
      </c>
      <c r="J37" s="597">
        <v>100</v>
      </c>
      <c r="K37" s="597">
        <v>0</v>
      </c>
      <c r="L37" s="597">
        <v>0</v>
      </c>
      <c r="M37" s="597"/>
      <c r="N37" s="891">
        <f t="shared" si="0"/>
        <v>1162.5179333714736</v>
      </c>
      <c r="P37" s="1389"/>
    </row>
    <row r="38" spans="1:17" s="1388" customFormat="1" ht="20.25" customHeight="1">
      <c r="A38" s="610">
        <v>22</v>
      </c>
      <c r="B38" s="598" t="s">
        <v>1009</v>
      </c>
      <c r="C38" s="610" t="s">
        <v>109</v>
      </c>
      <c r="D38" s="611" t="s">
        <v>823</v>
      </c>
      <c r="E38" s="597">
        <f t="shared" si="3"/>
        <v>57</v>
      </c>
      <c r="F38" s="597">
        <v>164</v>
      </c>
      <c r="G38" s="597">
        <f t="shared" si="1"/>
        <v>797.51793337147376</v>
      </c>
      <c r="H38" s="597">
        <v>0</v>
      </c>
      <c r="I38" s="597">
        <v>0</v>
      </c>
      <c r="J38" s="597">
        <v>100</v>
      </c>
      <c r="K38" s="597">
        <v>0</v>
      </c>
      <c r="L38" s="597">
        <v>0</v>
      </c>
      <c r="M38" s="597"/>
      <c r="N38" s="891">
        <f t="shared" si="0"/>
        <v>1061.5179333714736</v>
      </c>
      <c r="O38" s="786"/>
      <c r="P38" s="1389"/>
    </row>
    <row r="39" spans="1:17" s="1388" customFormat="1" ht="25.5">
      <c r="A39" s="610">
        <v>23</v>
      </c>
      <c r="B39" s="598" t="s">
        <v>882</v>
      </c>
      <c r="C39" s="610" t="s">
        <v>109</v>
      </c>
      <c r="D39" s="611" t="s">
        <v>883</v>
      </c>
      <c r="E39" s="597">
        <f t="shared" si="3"/>
        <v>57</v>
      </c>
      <c r="F39" s="597">
        <v>276</v>
      </c>
      <c r="G39" s="597">
        <f t="shared" si="1"/>
        <v>797.51793337147376</v>
      </c>
      <c r="H39" s="597">
        <v>0</v>
      </c>
      <c r="I39" s="597">
        <v>0</v>
      </c>
      <c r="J39" s="597">
        <v>100</v>
      </c>
      <c r="K39" s="597">
        <v>0</v>
      </c>
      <c r="L39" s="597">
        <v>0</v>
      </c>
      <c r="M39" s="597"/>
      <c r="N39" s="891">
        <f t="shared" si="0"/>
        <v>1173.5179333714736</v>
      </c>
      <c r="P39" s="1389"/>
    </row>
    <row r="40" spans="1:17" s="1388" customFormat="1">
      <c r="A40" s="610">
        <v>24</v>
      </c>
      <c r="B40" s="890" t="s">
        <v>824</v>
      </c>
      <c r="C40" s="610" t="s">
        <v>109</v>
      </c>
      <c r="D40" s="611" t="s">
        <v>825</v>
      </c>
      <c r="E40" s="597">
        <f t="shared" si="3"/>
        <v>57</v>
      </c>
      <c r="F40" s="597">
        <f>(1/(0.6*0.2*0.2))*32</f>
        <v>1333.3333333333333</v>
      </c>
      <c r="G40" s="597">
        <f t="shared" si="1"/>
        <v>797.51793337147376</v>
      </c>
      <c r="H40" s="597">
        <v>0</v>
      </c>
      <c r="I40" s="597">
        <v>0</v>
      </c>
      <c r="J40" s="597">
        <v>0</v>
      </c>
      <c r="K40" s="597">
        <v>0</v>
      </c>
      <c r="L40" s="597">
        <v>0</v>
      </c>
      <c r="M40" s="597"/>
      <c r="N40" s="891">
        <f t="shared" si="0"/>
        <v>2130.8512667048071</v>
      </c>
      <c r="P40" s="1389"/>
    </row>
    <row r="41" spans="1:17" s="1388" customFormat="1">
      <c r="A41" s="610">
        <v>25</v>
      </c>
      <c r="B41" s="890" t="s">
        <v>884</v>
      </c>
      <c r="C41" s="610" t="s">
        <v>109</v>
      </c>
      <c r="D41" s="611" t="s">
        <v>885</v>
      </c>
      <c r="E41" s="597">
        <f t="shared" si="3"/>
        <v>57</v>
      </c>
      <c r="F41" s="597">
        <f>32/(0.2*0.2*0.45)</f>
        <v>1777.7777777777771</v>
      </c>
      <c r="G41" s="597">
        <f t="shared" si="1"/>
        <v>797.51793337147376</v>
      </c>
      <c r="H41" s="597">
        <v>0</v>
      </c>
      <c r="I41" s="597">
        <v>0</v>
      </c>
      <c r="J41" s="597">
        <v>0</v>
      </c>
      <c r="K41" s="597">
        <v>0</v>
      </c>
      <c r="L41" s="597">
        <v>0</v>
      </c>
      <c r="M41" s="597"/>
      <c r="N41" s="891">
        <f t="shared" si="0"/>
        <v>2575.295711149251</v>
      </c>
      <c r="P41" s="1389"/>
    </row>
    <row r="42" spans="1:17" s="1388" customFormat="1" ht="25.5">
      <c r="A42" s="610">
        <v>26</v>
      </c>
      <c r="B42" s="598" t="s">
        <v>826</v>
      </c>
      <c r="C42" s="1350" t="s">
        <v>290</v>
      </c>
      <c r="D42" s="611" t="s">
        <v>780</v>
      </c>
      <c r="E42" s="597">
        <v>10</v>
      </c>
      <c r="F42" s="597">
        <v>71</v>
      </c>
      <c r="G42" s="597">
        <v>0</v>
      </c>
      <c r="H42" s="597">
        <v>0</v>
      </c>
      <c r="I42" s="597">
        <v>0</v>
      </c>
      <c r="J42" s="597">
        <v>0</v>
      </c>
      <c r="K42" s="597">
        <v>0</v>
      </c>
      <c r="L42" s="597">
        <v>0</v>
      </c>
      <c r="M42" s="597"/>
      <c r="N42" s="891">
        <f t="shared" si="0"/>
        <v>71</v>
      </c>
      <c r="P42" s="1389"/>
    </row>
    <row r="43" spans="1:17" s="1388" customFormat="1" ht="25.5">
      <c r="A43" s="610">
        <v>27</v>
      </c>
      <c r="B43" s="1351" t="s">
        <v>1088</v>
      </c>
      <c r="C43" s="610" t="s">
        <v>679</v>
      </c>
      <c r="D43" s="610" t="s">
        <v>827</v>
      </c>
      <c r="E43" s="597">
        <v>0</v>
      </c>
      <c r="F43" s="597">
        <v>5000</v>
      </c>
      <c r="G43" s="597">
        <v>0</v>
      </c>
      <c r="H43" s="1352"/>
      <c r="I43" s="1353"/>
      <c r="J43" s="1353"/>
      <c r="K43" s="597">
        <v>0</v>
      </c>
      <c r="L43" s="597">
        <v>0</v>
      </c>
      <c r="M43" s="597"/>
      <c r="N43" s="891">
        <f t="shared" si="0"/>
        <v>5000</v>
      </c>
      <c r="P43" s="1389"/>
    </row>
    <row r="44" spans="1:17" s="1388" customFormat="1" ht="30.75" customHeight="1">
      <c r="A44" s="610">
        <v>28</v>
      </c>
      <c r="B44" s="598" t="s">
        <v>886</v>
      </c>
      <c r="C44" s="610" t="s">
        <v>307</v>
      </c>
      <c r="D44" s="610" t="s">
        <v>887</v>
      </c>
      <c r="E44" s="597">
        <v>52</v>
      </c>
      <c r="F44" s="597">
        <v>9000</v>
      </c>
      <c r="G44" s="597">
        <f>Q44</f>
        <v>1174.4047881001629</v>
      </c>
      <c r="H44" s="597">
        <v>0</v>
      </c>
      <c r="I44" s="597">
        <v>0</v>
      </c>
      <c r="J44" s="597">
        <v>0</v>
      </c>
      <c r="K44" s="597">
        <v>85.2</v>
      </c>
      <c r="L44" s="597"/>
      <c r="M44" s="597"/>
      <c r="N44" s="891">
        <f t="shared" si="0"/>
        <v>10259.604788100163</v>
      </c>
      <c r="O44" s="1388">
        <f>(187.2+(25*28.1)+(22*23.4))/1.13615</f>
        <v>1236.1924041719844</v>
      </c>
      <c r="P44" s="1389">
        <f>E5/1.13615</f>
        <v>61.787616071821503</v>
      </c>
      <c r="Q44" s="1389">
        <f>O44-P44</f>
        <v>1174.4047881001629</v>
      </c>
    </row>
    <row r="45" spans="1:17" s="1388" customFormat="1" ht="51.75">
      <c r="A45" s="610">
        <v>29</v>
      </c>
      <c r="B45" s="1354" t="s">
        <v>1028</v>
      </c>
      <c r="C45" s="610" t="s">
        <v>307</v>
      </c>
      <c r="D45" s="610" t="s">
        <v>888</v>
      </c>
      <c r="E45" s="597">
        <v>52</v>
      </c>
      <c r="F45" s="597">
        <v>32000</v>
      </c>
      <c r="G45" s="597">
        <f>IF(E45&gt;30,($E$6-$E$5+(25*$E$7)+((E45-30)*$C$8))/1.13615,(($E$6-$E$5+((E45-5)*$E$7))/1.13615))</f>
        <v>1004.004752893544</v>
      </c>
      <c r="H45" s="597">
        <v>0</v>
      </c>
      <c r="I45" s="597">
        <v>0</v>
      </c>
      <c r="J45" s="597">
        <v>0</v>
      </c>
      <c r="K45" s="597">
        <v>85.2</v>
      </c>
      <c r="L45" s="597"/>
      <c r="M45" s="597"/>
      <c r="N45" s="891">
        <f t="shared" si="0"/>
        <v>33089.204752893544</v>
      </c>
      <c r="P45" s="1389"/>
    </row>
    <row r="46" spans="1:17" s="1388" customFormat="1" ht="51.75">
      <c r="A46" s="610">
        <v>30</v>
      </c>
      <c r="B46" s="1354" t="s">
        <v>1029</v>
      </c>
      <c r="C46" s="610" t="s">
        <v>307</v>
      </c>
      <c r="D46" s="611" t="s">
        <v>889</v>
      </c>
      <c r="E46" s="597">
        <v>52</v>
      </c>
      <c r="F46" s="597">
        <v>9000</v>
      </c>
      <c r="G46" s="597">
        <f>IF(E46&gt;30,($E$6-$E$5+(25*$E$7)+((E46-30)*$C$8))/1.13615,(($E$6-$E$5+((E46-5)*$E$7))/1.13615))</f>
        <v>1004.004752893544</v>
      </c>
      <c r="H46" s="597">
        <v>0</v>
      </c>
      <c r="I46" s="597">
        <v>0</v>
      </c>
      <c r="J46" s="597">
        <v>0</v>
      </c>
      <c r="K46" s="597">
        <f>K45</f>
        <v>85.2</v>
      </c>
      <c r="L46" s="597"/>
      <c r="M46" s="597"/>
      <c r="N46" s="891">
        <f t="shared" si="0"/>
        <v>10089.204752893545</v>
      </c>
      <c r="P46" s="1389"/>
    </row>
    <row r="47" spans="1:17" s="1388" customFormat="1">
      <c r="A47" s="610">
        <v>31</v>
      </c>
      <c r="B47" s="1354" t="s">
        <v>1086</v>
      </c>
      <c r="C47" s="610" t="s">
        <v>679</v>
      </c>
      <c r="D47" s="611"/>
      <c r="E47" s="597"/>
      <c r="F47" s="597">
        <v>49000</v>
      </c>
      <c r="G47" s="597"/>
      <c r="H47" s="597"/>
      <c r="I47" s="597"/>
      <c r="J47" s="597"/>
      <c r="K47" s="597"/>
      <c r="L47" s="597"/>
      <c r="M47" s="597"/>
      <c r="N47" s="597">
        <f>F47</f>
        <v>49000</v>
      </c>
      <c r="P47" s="1389"/>
    </row>
    <row r="48" spans="1:17" s="1388" customFormat="1">
      <c r="A48" s="610">
        <v>32</v>
      </c>
      <c r="B48" s="1354" t="s">
        <v>1085</v>
      </c>
      <c r="C48" s="610" t="s">
        <v>679</v>
      </c>
      <c r="D48" s="611"/>
      <c r="E48" s="597"/>
      <c r="F48" s="597">
        <v>61000</v>
      </c>
      <c r="G48" s="597"/>
      <c r="H48" s="597"/>
      <c r="I48" s="597"/>
      <c r="J48" s="597"/>
      <c r="K48" s="597"/>
      <c r="L48" s="597"/>
      <c r="M48" s="597"/>
      <c r="N48" s="597">
        <f t="shared" ref="N48:N50" si="5">F48</f>
        <v>61000</v>
      </c>
      <c r="P48" s="1389"/>
    </row>
    <row r="49" spans="1:17" s="1388" customFormat="1" ht="33.75" customHeight="1">
      <c r="A49" s="610">
        <v>33</v>
      </c>
      <c r="B49" s="1354" t="s">
        <v>1084</v>
      </c>
      <c r="C49" s="610" t="s">
        <v>679</v>
      </c>
      <c r="D49" s="611"/>
      <c r="E49" s="597"/>
      <c r="F49" s="597">
        <v>60000</v>
      </c>
      <c r="G49" s="597"/>
      <c r="H49" s="597"/>
      <c r="I49" s="597"/>
      <c r="J49" s="597"/>
      <c r="K49" s="597"/>
      <c r="L49" s="597"/>
      <c r="M49" s="597"/>
      <c r="N49" s="597">
        <f t="shared" si="5"/>
        <v>60000</v>
      </c>
      <c r="P49" s="1389"/>
    </row>
    <row r="50" spans="1:17" s="1388" customFormat="1" ht="33.75" customHeight="1">
      <c r="A50" s="610">
        <v>34</v>
      </c>
      <c r="B50" s="1354" t="s">
        <v>1083</v>
      </c>
      <c r="C50" s="610" t="s">
        <v>679</v>
      </c>
      <c r="D50" s="611"/>
      <c r="E50" s="597"/>
      <c r="F50" s="597">
        <v>55000</v>
      </c>
      <c r="G50" s="597"/>
      <c r="H50" s="597"/>
      <c r="I50" s="597"/>
      <c r="J50" s="597"/>
      <c r="K50" s="597"/>
      <c r="L50" s="597"/>
      <c r="M50" s="597"/>
      <c r="N50" s="597">
        <f t="shared" si="5"/>
        <v>55000</v>
      </c>
      <c r="P50" s="1389"/>
    </row>
    <row r="51" spans="1:17" s="1355" customFormat="1" ht="33.75" customHeight="1">
      <c r="A51" s="610">
        <v>35</v>
      </c>
      <c r="B51" s="1354" t="s">
        <v>1335</v>
      </c>
      <c r="C51" s="610" t="s">
        <v>679</v>
      </c>
      <c r="D51" s="611" t="s">
        <v>1336</v>
      </c>
      <c r="E51" s="597">
        <v>70</v>
      </c>
      <c r="F51" s="597"/>
      <c r="G51" s="597"/>
      <c r="H51" s="597"/>
      <c r="I51" s="597"/>
      <c r="J51" s="597"/>
      <c r="K51" s="597"/>
      <c r="L51" s="597"/>
      <c r="M51" s="597"/>
      <c r="N51" s="597"/>
      <c r="P51" s="1356"/>
    </row>
    <row r="52" spans="1:17" s="1355" customFormat="1" ht="33.75" customHeight="1">
      <c r="A52" s="610">
        <v>36</v>
      </c>
      <c r="B52" s="1354" t="s">
        <v>1337</v>
      </c>
      <c r="C52" s="610"/>
      <c r="D52" s="611" t="s">
        <v>1338</v>
      </c>
      <c r="E52" s="597">
        <v>70</v>
      </c>
      <c r="F52" s="597"/>
      <c r="G52" s="597"/>
      <c r="H52" s="597"/>
      <c r="I52" s="597"/>
      <c r="J52" s="597"/>
      <c r="K52" s="597"/>
      <c r="L52" s="597"/>
      <c r="M52" s="597"/>
      <c r="N52" s="597"/>
      <c r="P52" s="1356"/>
    </row>
    <row r="53" spans="1:17" s="1365" customFormat="1" ht="15.75">
      <c r="A53" s="1357"/>
      <c r="B53" s="1358" t="s">
        <v>1339</v>
      </c>
      <c r="C53" s="1359"/>
      <c r="D53" s="1359"/>
      <c r="E53" s="1359"/>
      <c r="F53" s="1360"/>
      <c r="G53" s="1361"/>
      <c r="H53" s="1362"/>
      <c r="I53" s="1362"/>
      <c r="J53" s="1363"/>
      <c r="K53" s="1364"/>
      <c r="L53" s="1364"/>
      <c r="M53" s="1364"/>
      <c r="N53" s="1364"/>
    </row>
    <row r="54" spans="1:17" s="1368" customFormat="1" ht="15.75">
      <c r="A54" s="1366">
        <v>1</v>
      </c>
      <c r="B54" s="1366" t="s">
        <v>1340</v>
      </c>
      <c r="C54" s="1366"/>
      <c r="D54" s="1367"/>
      <c r="E54" s="1367"/>
      <c r="F54" s="1366"/>
      <c r="G54" s="1366"/>
      <c r="H54" s="1366"/>
      <c r="I54" s="1366"/>
      <c r="J54" s="1366"/>
      <c r="K54" s="1366"/>
      <c r="L54" s="1366"/>
      <c r="M54" s="1366"/>
      <c r="N54" s="1366"/>
    </row>
    <row r="55" spans="1:17" s="1368" customFormat="1" ht="15.75">
      <c r="A55" s="1366">
        <v>2</v>
      </c>
      <c r="B55" s="1366" t="s">
        <v>1341</v>
      </c>
      <c r="C55" s="1366"/>
      <c r="D55" s="1367"/>
      <c r="E55" s="1367"/>
      <c r="F55" s="1366"/>
      <c r="G55" s="1366"/>
      <c r="H55" s="1366"/>
      <c r="I55" s="1366"/>
      <c r="J55" s="1366"/>
      <c r="K55" s="1366"/>
      <c r="L55" s="1366"/>
      <c r="M55" s="1366"/>
      <c r="N55" s="1366"/>
    </row>
    <row r="56" spans="1:17" s="1365" customFormat="1" ht="21.6" customHeight="1">
      <c r="A56" s="1364">
        <v>3</v>
      </c>
      <c r="B56" s="1366" t="s">
        <v>1342</v>
      </c>
      <c r="C56" s="1369"/>
      <c r="D56" s="1359"/>
      <c r="E56" s="1359"/>
      <c r="F56" s="1364"/>
      <c r="G56" s="1364"/>
      <c r="H56" s="1364"/>
      <c r="I56" s="1364"/>
      <c r="J56" s="1364"/>
      <c r="K56" s="1364"/>
      <c r="L56" s="1364"/>
      <c r="M56" s="1364"/>
      <c r="N56" s="1364"/>
    </row>
    <row r="57" spans="1:17" s="1374" customFormat="1" ht="19.149999999999999" customHeight="1">
      <c r="A57" s="1364">
        <v>4</v>
      </c>
      <c r="B57" s="1366" t="s">
        <v>1343</v>
      </c>
      <c r="C57" s="1370"/>
      <c r="D57" s="1371" t="s">
        <v>1344</v>
      </c>
      <c r="E57" s="1372"/>
      <c r="F57" s="1373"/>
      <c r="G57" s="1373"/>
      <c r="H57" s="1373"/>
      <c r="I57" s="1373"/>
      <c r="J57" s="1373"/>
      <c r="K57" s="1373"/>
      <c r="L57" s="1373"/>
      <c r="M57" s="1373"/>
      <c r="N57" s="1373"/>
    </row>
    <row r="58" spans="1:17" s="1374" customFormat="1" ht="20.100000000000001" customHeight="1">
      <c r="A58" s="1364">
        <v>5</v>
      </c>
      <c r="B58" s="1366" t="s">
        <v>1345</v>
      </c>
      <c r="C58" s="1371"/>
      <c r="D58" s="1370">
        <f>'[44]Input Data'!D17</f>
        <v>0</v>
      </c>
      <c r="E58" s="1372"/>
      <c r="F58" s="1373"/>
      <c r="G58" s="1373"/>
      <c r="H58" s="1373"/>
      <c r="I58" s="1373"/>
      <c r="J58" s="1373"/>
      <c r="K58" s="1373"/>
      <c r="L58" s="1373"/>
      <c r="M58" s="1373"/>
      <c r="N58" s="1373"/>
    </row>
    <row r="59" spans="1:17" ht="33.75" customHeight="1">
      <c r="A59" s="1118"/>
      <c r="B59" s="1375"/>
      <c r="C59" s="1118"/>
      <c r="D59" s="1376"/>
      <c r="E59" s="1119"/>
      <c r="F59" s="1119"/>
      <c r="G59" s="1119"/>
      <c r="H59" s="1119"/>
      <c r="I59" s="1119"/>
      <c r="J59" s="1119"/>
      <c r="K59" s="1119"/>
      <c r="L59" s="1119"/>
      <c r="M59" s="1119"/>
      <c r="N59" s="1119"/>
      <c r="P59" s="893"/>
    </row>
    <row r="60" spans="1:17" ht="14.25" customHeight="1">
      <c r="A60" s="1118"/>
      <c r="B60" s="1375"/>
      <c r="C60" s="1118" t="str">
        <f>'stoneware pipes'!A104</f>
        <v>Asst., Engineer</v>
      </c>
      <c r="D60" s="1376"/>
      <c r="E60" s="1119"/>
      <c r="F60" s="1119" t="str">
        <f>'stoneware pipes'!D104</f>
        <v>Dy .Executive.Engineer</v>
      </c>
      <c r="G60" s="1119"/>
      <c r="H60" s="1119"/>
      <c r="I60" s="1119" t="str">
        <f>'stoneware pipes'!F104</f>
        <v>Executive Engineer</v>
      </c>
      <c r="J60" s="1119"/>
      <c r="K60" s="1119"/>
      <c r="L60" s="1119"/>
      <c r="M60" s="1119"/>
      <c r="N60" s="1119"/>
      <c r="P60" s="893"/>
    </row>
    <row r="61" spans="1:17" ht="14.25" customHeight="1">
      <c r="A61" s="1118"/>
      <c r="B61" s="1375"/>
      <c r="C61" s="1118" t="str">
        <f>'stoneware pipes'!A105</f>
        <v>PR SD Amangal</v>
      </c>
      <c r="D61" s="1376"/>
      <c r="E61" s="1119"/>
      <c r="F61" s="1119" t="str">
        <f>'stoneware pipes'!D105</f>
        <v>PR SD  Amangal</v>
      </c>
      <c r="G61" s="1119"/>
      <c r="H61" s="1119"/>
      <c r="I61" s="1119" t="str">
        <f>'stoneware pipes'!F105</f>
        <v>PR Div Ibrahimpatnam</v>
      </c>
      <c r="J61" s="1119"/>
      <c r="K61" s="1119"/>
      <c r="L61" s="1119"/>
      <c r="M61" s="1119"/>
      <c r="N61" s="1119"/>
      <c r="P61" s="893"/>
    </row>
    <row r="63" spans="1:17">
      <c r="B63" s="1377" t="s">
        <v>891</v>
      </c>
      <c r="C63" s="1378">
        <v>575</v>
      </c>
      <c r="D63" s="1377"/>
      <c r="E63" s="1377"/>
      <c r="F63" s="1377"/>
      <c r="G63" s="1377"/>
      <c r="H63" s="1377" t="s">
        <v>892</v>
      </c>
      <c r="I63" s="1377"/>
      <c r="J63" s="1379">
        <v>0</v>
      </c>
      <c r="K63" s="1379"/>
      <c r="L63" s="1379"/>
      <c r="M63" s="1379"/>
      <c r="N63" s="1377"/>
      <c r="O63" s="1377"/>
      <c r="P63" s="1380"/>
      <c r="Q63" s="1377"/>
    </row>
    <row r="64" spans="1:17">
      <c r="B64" s="1377" t="s">
        <v>628</v>
      </c>
      <c r="C64" s="1378">
        <v>645</v>
      </c>
      <c r="H64" s="1377" t="s">
        <v>1056</v>
      </c>
      <c r="I64" s="1377"/>
      <c r="J64" s="1381">
        <v>0.13614999999999999</v>
      </c>
      <c r="K64" s="1381"/>
      <c r="L64" s="1381"/>
      <c r="M64" s="1381"/>
    </row>
    <row r="65" spans="2:10">
      <c r="B65" s="1377" t="s">
        <v>894</v>
      </c>
      <c r="C65" s="1378">
        <v>615</v>
      </c>
      <c r="J65" s="1382"/>
    </row>
    <row r="66" spans="2:10">
      <c r="B66" s="1377" t="s">
        <v>895</v>
      </c>
      <c r="C66" s="1383">
        <v>740</v>
      </c>
      <c r="H66" s="892" t="s">
        <v>1018</v>
      </c>
      <c r="J66" s="1382">
        <v>0</v>
      </c>
    </row>
    <row r="67" spans="2:10">
      <c r="B67" s="1377" t="s">
        <v>420</v>
      </c>
      <c r="C67" s="1383">
        <v>750</v>
      </c>
    </row>
    <row r="68" spans="2:10">
      <c r="B68" s="1377" t="s">
        <v>896</v>
      </c>
      <c r="C68" s="1383">
        <v>685</v>
      </c>
    </row>
    <row r="69" spans="2:10">
      <c r="B69" s="1377" t="s">
        <v>897</v>
      </c>
      <c r="C69" s="1383">
        <v>735</v>
      </c>
    </row>
    <row r="70" spans="2:10">
      <c r="B70" s="1377" t="s">
        <v>898</v>
      </c>
      <c r="C70" s="1378">
        <v>765</v>
      </c>
    </row>
    <row r="71" spans="2:10">
      <c r="B71" s="1377" t="s">
        <v>899</v>
      </c>
      <c r="C71" s="1383">
        <v>765</v>
      </c>
    </row>
    <row r="72" spans="2:10">
      <c r="B72" s="1377" t="s">
        <v>900</v>
      </c>
      <c r="C72" s="1383">
        <v>515</v>
      </c>
    </row>
    <row r="73" spans="2:10">
      <c r="B73" s="1377" t="s">
        <v>901</v>
      </c>
      <c r="C73" s="1383">
        <v>1095</v>
      </c>
    </row>
    <row r="74" spans="2:10">
      <c r="B74" s="1377" t="s">
        <v>902</v>
      </c>
      <c r="C74" s="1383">
        <v>615</v>
      </c>
    </row>
    <row r="75" spans="2:10">
      <c r="B75" s="1377" t="s">
        <v>377</v>
      </c>
      <c r="C75" s="1378">
        <v>740</v>
      </c>
    </row>
    <row r="76" spans="2:10">
      <c r="C76" s="1383"/>
    </row>
    <row r="77" spans="2:10">
      <c r="B77" s="1384" t="s">
        <v>903</v>
      </c>
      <c r="C77" s="1378">
        <v>697.9</v>
      </c>
      <c r="E77" s="1377" t="s">
        <v>402</v>
      </c>
      <c r="F77" s="1383"/>
    </row>
    <row r="78" spans="2:10">
      <c r="B78" s="1384" t="s">
        <v>904</v>
      </c>
      <c r="C78" s="1378">
        <v>336.7</v>
      </c>
      <c r="E78" s="1377" t="s">
        <v>905</v>
      </c>
      <c r="F78" s="1383">
        <v>80</v>
      </c>
    </row>
    <row r="79" spans="2:10">
      <c r="B79" s="1384" t="s">
        <v>906</v>
      </c>
      <c r="C79" s="1383">
        <v>278.39999999999998</v>
      </c>
      <c r="E79" s="1377" t="s">
        <v>907</v>
      </c>
      <c r="F79" s="1383">
        <v>108</v>
      </c>
    </row>
    <row r="80" spans="2:10">
      <c r="B80" s="1384" t="s">
        <v>908</v>
      </c>
      <c r="C80" s="1383">
        <v>242.4</v>
      </c>
    </row>
    <row r="81" spans="2:3">
      <c r="B81" s="1384" t="s">
        <v>909</v>
      </c>
      <c r="C81" s="1378">
        <v>3557.7</v>
      </c>
    </row>
    <row r="82" spans="2:3">
      <c r="B82" s="1384" t="s">
        <v>910</v>
      </c>
      <c r="C82" s="1378">
        <v>297.7</v>
      </c>
    </row>
    <row r="83" spans="2:3">
      <c r="B83" s="1384" t="s">
        <v>911</v>
      </c>
      <c r="C83" s="1378">
        <v>1759.4</v>
      </c>
    </row>
    <row r="84" spans="2:3">
      <c r="B84" s="1384" t="s">
        <v>912</v>
      </c>
      <c r="C84" s="1378">
        <v>320.7</v>
      </c>
    </row>
    <row r="85" spans="2:3">
      <c r="B85" s="1384" t="s">
        <v>913</v>
      </c>
      <c r="C85" s="1378">
        <v>523.20000000000005</v>
      </c>
    </row>
    <row r="86" spans="2:3">
      <c r="B86" s="1384" t="s">
        <v>912</v>
      </c>
      <c r="C86" s="1378">
        <v>501.2</v>
      </c>
    </row>
    <row r="87" spans="2:3">
      <c r="B87" s="1384" t="s">
        <v>914</v>
      </c>
      <c r="C87" s="1383">
        <v>512</v>
      </c>
    </row>
    <row r="88" spans="2:3">
      <c r="B88" s="1384" t="s">
        <v>915</v>
      </c>
      <c r="C88" s="1378">
        <v>2028</v>
      </c>
    </row>
    <row r="89" spans="2:3">
      <c r="B89" s="1384" t="s">
        <v>912</v>
      </c>
      <c r="C89" s="1383">
        <v>0</v>
      </c>
    </row>
    <row r="90" spans="2:3" ht="30">
      <c r="B90" s="1384" t="s">
        <v>916</v>
      </c>
      <c r="C90" s="1383">
        <v>1623.8</v>
      </c>
    </row>
    <row r="91" spans="2:3">
      <c r="B91" s="1384" t="s">
        <v>912</v>
      </c>
      <c r="C91" s="1383">
        <v>507.2</v>
      </c>
    </row>
    <row r="92" spans="2:3">
      <c r="B92" s="1384" t="s">
        <v>917</v>
      </c>
      <c r="C92" s="1378">
        <v>2279</v>
      </c>
    </row>
    <row r="93" spans="2:3">
      <c r="B93" s="1384" t="s">
        <v>912</v>
      </c>
      <c r="C93" s="1383">
        <v>0</v>
      </c>
    </row>
    <row r="94" spans="2:3">
      <c r="B94" s="1384" t="s">
        <v>918</v>
      </c>
      <c r="C94" s="1378">
        <v>1387</v>
      </c>
    </row>
    <row r="95" spans="2:3">
      <c r="B95" s="1384" t="s">
        <v>912</v>
      </c>
      <c r="C95" s="1383">
        <v>0</v>
      </c>
    </row>
    <row r="96" spans="2:3">
      <c r="B96" s="1384" t="s">
        <v>919</v>
      </c>
      <c r="C96" s="1378">
        <v>1626</v>
      </c>
    </row>
    <row r="97" spans="2:3">
      <c r="B97" s="1384" t="s">
        <v>912</v>
      </c>
      <c r="C97" s="1383">
        <v>0</v>
      </c>
    </row>
    <row r="98" spans="2:3">
      <c r="B98" s="1384" t="s">
        <v>920</v>
      </c>
      <c r="C98" s="1378">
        <v>769</v>
      </c>
    </row>
    <row r="99" spans="2:3">
      <c r="B99" s="1384" t="s">
        <v>912</v>
      </c>
      <c r="C99" s="1383">
        <v>0</v>
      </c>
    </row>
    <row r="100" spans="2:3" ht="30">
      <c r="B100" s="1384" t="s">
        <v>921</v>
      </c>
      <c r="C100" s="1378">
        <v>8</v>
      </c>
    </row>
    <row r="101" spans="2:3">
      <c r="B101" s="1384" t="s">
        <v>922</v>
      </c>
      <c r="C101" s="1378">
        <v>2028</v>
      </c>
    </row>
    <row r="102" spans="2:3">
      <c r="B102" s="1384" t="s">
        <v>912</v>
      </c>
      <c r="C102" s="1383">
        <v>0</v>
      </c>
    </row>
    <row r="103" spans="2:3" ht="30">
      <c r="B103" s="1384" t="s">
        <v>923</v>
      </c>
      <c r="C103" s="1378">
        <v>2771</v>
      </c>
    </row>
    <row r="104" spans="2:3">
      <c r="B104" s="1384" t="s">
        <v>912</v>
      </c>
      <c r="C104" s="1383">
        <f>C102</f>
        <v>0</v>
      </c>
    </row>
    <row r="105" spans="2:3">
      <c r="B105" s="1384" t="s">
        <v>924</v>
      </c>
      <c r="C105" s="1378">
        <v>3517.9</v>
      </c>
    </row>
    <row r="106" spans="2:3">
      <c r="B106" s="1384" t="s">
        <v>912</v>
      </c>
      <c r="C106" s="1378">
        <v>402.5</v>
      </c>
    </row>
    <row r="107" spans="2:3">
      <c r="B107" s="1384" t="s">
        <v>1019</v>
      </c>
      <c r="C107" s="1378">
        <v>1844</v>
      </c>
    </row>
    <row r="108" spans="2:3">
      <c r="B108" s="1384" t="s">
        <v>912</v>
      </c>
      <c r="C108" s="1383">
        <v>0</v>
      </c>
    </row>
    <row r="109" spans="2:3">
      <c r="B109" s="1384" t="s">
        <v>925</v>
      </c>
      <c r="C109" s="1378">
        <v>1934</v>
      </c>
    </row>
    <row r="110" spans="2:3">
      <c r="B110" s="1384" t="s">
        <v>1020</v>
      </c>
      <c r="C110" s="1378">
        <v>3164.8</v>
      </c>
    </row>
    <row r="111" spans="2:3">
      <c r="B111" s="1384" t="s">
        <v>1021</v>
      </c>
      <c r="C111" s="1378">
        <v>297.7</v>
      </c>
    </row>
    <row r="112" spans="2:3">
      <c r="B112" s="1384" t="s">
        <v>926</v>
      </c>
      <c r="C112" s="1378">
        <v>3602</v>
      </c>
    </row>
    <row r="113" spans="2:5">
      <c r="B113" s="1384" t="s">
        <v>908</v>
      </c>
      <c r="C113" s="1383">
        <v>0</v>
      </c>
    </row>
    <row r="114" spans="2:5">
      <c r="B114" s="1384" t="s">
        <v>927</v>
      </c>
      <c r="C114" s="1378">
        <v>465</v>
      </c>
    </row>
    <row r="115" spans="2:5" ht="30">
      <c r="B115" s="1384" t="s">
        <v>928</v>
      </c>
      <c r="C115" s="1383">
        <v>568.23</v>
      </c>
    </row>
    <row r="116" spans="2:5">
      <c r="B116" s="1384" t="s">
        <v>929</v>
      </c>
      <c r="C116" s="1378">
        <v>1281.3</v>
      </c>
      <c r="D116" s="1385"/>
    </row>
    <row r="117" spans="2:5">
      <c r="B117" s="1384" t="s">
        <v>912</v>
      </c>
      <c r="C117" s="1378">
        <v>222.3</v>
      </c>
      <c r="D117" s="1385"/>
    </row>
    <row r="118" spans="2:5">
      <c r="B118" s="1384" t="s">
        <v>930</v>
      </c>
      <c r="C118" s="1378">
        <v>400</v>
      </c>
    </row>
    <row r="119" spans="2:5">
      <c r="B119" s="1384" t="s">
        <v>912</v>
      </c>
      <c r="C119" s="1383">
        <v>0</v>
      </c>
    </row>
    <row r="120" spans="2:5" ht="30">
      <c r="B120" s="1384" t="s">
        <v>931</v>
      </c>
      <c r="C120" s="1378">
        <v>963</v>
      </c>
    </row>
    <row r="121" spans="2:5">
      <c r="B121" s="1384" t="s">
        <v>912</v>
      </c>
      <c r="C121" s="1383">
        <v>0</v>
      </c>
    </row>
    <row r="122" spans="2:5">
      <c r="B122" s="1384" t="s">
        <v>1022</v>
      </c>
      <c r="C122" s="1378">
        <v>27072</v>
      </c>
    </row>
    <row r="123" spans="2:5">
      <c r="B123" s="1384" t="s">
        <v>912</v>
      </c>
      <c r="C123" s="1383">
        <v>0</v>
      </c>
    </row>
    <row r="124" spans="2:5" ht="30">
      <c r="B124" s="1384" t="s">
        <v>933</v>
      </c>
      <c r="C124" s="1378">
        <v>3427</v>
      </c>
    </row>
    <row r="125" spans="2:5">
      <c r="B125" s="1384" t="s">
        <v>912</v>
      </c>
      <c r="C125" s="1383">
        <v>0</v>
      </c>
    </row>
    <row r="126" spans="2:5">
      <c r="B126" s="1384" t="s">
        <v>934</v>
      </c>
      <c r="C126" s="1378">
        <v>1625.8</v>
      </c>
    </row>
    <row r="127" spans="2:5">
      <c r="B127" s="1384" t="s">
        <v>912</v>
      </c>
      <c r="C127" s="1378">
        <v>285.8</v>
      </c>
    </row>
    <row r="128" spans="2:5" s="1346" customFormat="1">
      <c r="B128" s="1386" t="s">
        <v>1052</v>
      </c>
      <c r="C128" s="1378">
        <v>1414.7</v>
      </c>
      <c r="D128" s="1346">
        <v>1414.7</v>
      </c>
      <c r="E128" s="1346" t="s">
        <v>1051</v>
      </c>
    </row>
    <row r="129" spans="2:4" s="1346" customFormat="1">
      <c r="B129" s="1386" t="s">
        <v>912</v>
      </c>
      <c r="C129" s="1378">
        <v>426.7</v>
      </c>
      <c r="D129" s="1346">
        <v>426.7</v>
      </c>
    </row>
    <row r="130" spans="2:4">
      <c r="B130" s="1384" t="s">
        <v>936</v>
      </c>
      <c r="C130" s="1378">
        <v>2532.4</v>
      </c>
    </row>
    <row r="131" spans="2:4">
      <c r="B131" s="1384" t="s">
        <v>912</v>
      </c>
      <c r="C131" s="1378">
        <v>355.7</v>
      </c>
    </row>
    <row r="132" spans="2:4">
      <c r="B132" s="1384" t="s">
        <v>937</v>
      </c>
      <c r="C132" s="1378">
        <v>899</v>
      </c>
    </row>
    <row r="133" spans="2:4">
      <c r="B133" s="1384" t="s">
        <v>938</v>
      </c>
      <c r="C133" s="1378">
        <v>348</v>
      </c>
    </row>
    <row r="134" spans="2:4">
      <c r="B134" s="1384" t="s">
        <v>939</v>
      </c>
      <c r="C134" s="1383">
        <v>124.32</v>
      </c>
    </row>
    <row r="135" spans="2:4">
      <c r="B135" s="1384" t="s">
        <v>1024</v>
      </c>
      <c r="C135" s="1383">
        <v>472.64</v>
      </c>
    </row>
    <row r="137" spans="2:4">
      <c r="B137" s="1384" t="s">
        <v>1025</v>
      </c>
      <c r="C137" s="1383">
        <v>974.2</v>
      </c>
    </row>
    <row r="138" spans="2:4">
      <c r="B138" s="1384" t="s">
        <v>1026</v>
      </c>
      <c r="C138" s="1383">
        <v>161.5</v>
      </c>
    </row>
    <row r="139" spans="2:4">
      <c r="B139" s="1384" t="s">
        <v>1027</v>
      </c>
      <c r="C139" s="1383">
        <v>1378.7</v>
      </c>
    </row>
    <row r="140" spans="2:4">
      <c r="B140" s="1384" t="s">
        <v>1026</v>
      </c>
      <c r="C140" s="1383">
        <v>161.5</v>
      </c>
    </row>
    <row r="141" spans="2:4">
      <c r="B141" s="1387" t="s">
        <v>1081</v>
      </c>
      <c r="C141" s="892">
        <v>234</v>
      </c>
    </row>
  </sheetData>
  <mergeCells count="4">
    <mergeCell ref="A1:N1"/>
    <mergeCell ref="A3:F3"/>
    <mergeCell ref="I9:J9"/>
    <mergeCell ref="A2:N2"/>
  </mergeCells>
  <printOptions horizontalCentered="1"/>
  <pageMargins left="0.70866141732283472" right="0.70866141732283472" top="0.74803149606299213" bottom="0.74803149606299213" header="0.31496062992125984" footer="0.31496062992125984"/>
  <pageSetup paperSize="9" scale="61" fitToHeight="2" orientation="landscape" r:id="rId1"/>
  <headerFooter>
    <oddFooter>Page &amp;P of &amp;N</oddFooter>
  </headerFooter>
</worksheet>
</file>

<file path=xl/worksheets/sheet30.xml><?xml version="1.0" encoding="utf-8"?>
<worksheet xmlns="http://schemas.openxmlformats.org/spreadsheetml/2006/main" xmlns:r="http://schemas.openxmlformats.org/officeDocument/2006/relationships">
  <dimension ref="A9:K27"/>
  <sheetViews>
    <sheetView view="pageBreakPreview" topLeftCell="A7" zoomScale="115" zoomScaleSheetLayoutView="115" workbookViewId="0">
      <selection activeCell="E19" sqref="E19"/>
    </sheetView>
  </sheetViews>
  <sheetFormatPr defaultRowHeight="12.75"/>
  <cols>
    <col min="1" max="1" width="7.28515625" customWidth="1"/>
    <col min="2" max="2" width="70.42578125" customWidth="1"/>
    <col min="3" max="3" width="10.140625" bestFit="1" customWidth="1"/>
    <col min="5" max="5" width="12.42578125" bestFit="1" customWidth="1"/>
    <col min="6" max="6" width="13.85546875" bestFit="1" customWidth="1"/>
  </cols>
  <sheetData>
    <row r="9" spans="1:11" ht="103.5" customHeight="1">
      <c r="A9" s="476"/>
      <c r="B9" s="1659" t="s">
        <v>970</v>
      </c>
      <c r="C9" s="1659"/>
      <c r="D9" s="1659"/>
      <c r="E9" s="1659"/>
      <c r="F9" s="1659"/>
      <c r="G9" s="667"/>
      <c r="H9" s="667"/>
      <c r="I9" s="667"/>
      <c r="J9" s="667"/>
      <c r="K9" s="667"/>
    </row>
    <row r="10" spans="1:11" ht="26.25" customHeight="1">
      <c r="A10" s="476"/>
      <c r="B10" s="668" t="s">
        <v>969</v>
      </c>
      <c r="C10" s="668"/>
      <c r="D10" s="668"/>
      <c r="E10" s="668"/>
      <c r="F10" s="668"/>
      <c r="G10" s="667"/>
      <c r="H10" s="667"/>
      <c r="I10" s="667"/>
      <c r="J10" s="667"/>
      <c r="K10" s="667"/>
    </row>
    <row r="11" spans="1:11" ht="18.75">
      <c r="A11" s="476"/>
      <c r="B11" s="504" t="s">
        <v>113</v>
      </c>
      <c r="C11" s="502"/>
      <c r="D11" s="502"/>
      <c r="E11" s="502"/>
      <c r="F11" s="502"/>
      <c r="G11" s="10"/>
      <c r="H11" s="11"/>
      <c r="I11" s="11"/>
      <c r="J11" s="11"/>
      <c r="K11" s="11"/>
    </row>
    <row r="12" spans="1:11" ht="18.75">
      <c r="A12" s="476"/>
      <c r="B12" s="502" t="s">
        <v>279</v>
      </c>
      <c r="C12" s="661">
        <v>1.05</v>
      </c>
      <c r="D12" s="661" t="s">
        <v>18</v>
      </c>
      <c r="E12" s="661">
        <f>'Lead Chart 24-25'!C64</f>
        <v>645</v>
      </c>
      <c r="F12" s="661">
        <f>C12*E12</f>
        <v>677.25</v>
      </c>
      <c r="G12" s="663"/>
    </row>
    <row r="13" spans="1:11" ht="18.75">
      <c r="A13" s="476"/>
      <c r="B13" s="502" t="s">
        <v>121</v>
      </c>
      <c r="C13" s="661">
        <v>2.4500000000000002</v>
      </c>
      <c r="D13" s="661" t="s">
        <v>968</v>
      </c>
      <c r="E13" s="661">
        <f>'Lead Chart 24-25'!C65</f>
        <v>615</v>
      </c>
      <c r="F13" s="661">
        <f t="shared" ref="F13:F20" si="0">C13*E13</f>
        <v>1506.75</v>
      </c>
    </row>
    <row r="14" spans="1:11" ht="18.75">
      <c r="A14" s="476"/>
      <c r="B14" s="502" t="s">
        <v>243</v>
      </c>
      <c r="C14" s="661">
        <v>4.5</v>
      </c>
      <c r="D14" s="661" t="s">
        <v>968</v>
      </c>
      <c r="E14" s="661">
        <f>'Lead Chart 24-25'!C63</f>
        <v>575</v>
      </c>
      <c r="F14" s="661">
        <f t="shared" si="0"/>
        <v>2587.5</v>
      </c>
    </row>
    <row r="15" spans="1:11" ht="18.75">
      <c r="A15" s="476"/>
      <c r="B15" s="502" t="s">
        <v>180</v>
      </c>
      <c r="C15" s="661">
        <v>1.25</v>
      </c>
      <c r="D15" s="661" t="s">
        <v>968</v>
      </c>
      <c r="E15" s="661">
        <f>'Lead Chart 24-25'!C63</f>
        <v>575</v>
      </c>
      <c r="F15" s="661">
        <f t="shared" si="0"/>
        <v>718.75</v>
      </c>
    </row>
    <row r="16" spans="1:11" ht="18.75">
      <c r="A16" s="476"/>
      <c r="B16" s="504" t="s">
        <v>964</v>
      </c>
      <c r="C16" s="661"/>
      <c r="D16" s="661"/>
      <c r="E16" s="661"/>
      <c r="F16" s="661"/>
    </row>
    <row r="17" spans="1:6" ht="18.75">
      <c r="A17" s="476"/>
      <c r="B17" s="502" t="s">
        <v>1078</v>
      </c>
      <c r="C17" s="661">
        <v>30</v>
      </c>
      <c r="D17" s="661" t="s">
        <v>226</v>
      </c>
      <c r="E17" s="661">
        <v>599</v>
      </c>
      <c r="F17" s="661">
        <f t="shared" si="0"/>
        <v>17970</v>
      </c>
    </row>
    <row r="18" spans="1:6" ht="18.75">
      <c r="A18" s="476"/>
      <c r="B18" s="502" t="s">
        <v>183</v>
      </c>
      <c r="C18" s="661">
        <v>0.13</v>
      </c>
      <c r="D18" s="661" t="s">
        <v>967</v>
      </c>
      <c r="E18" s="661">
        <f>'Lead Chart 24-25'!F43</f>
        <v>5000</v>
      </c>
      <c r="F18" s="661">
        <f t="shared" si="0"/>
        <v>650</v>
      </c>
    </row>
    <row r="19" spans="1:6" ht="18.75">
      <c r="A19" s="476"/>
      <c r="B19" s="502" t="s">
        <v>185</v>
      </c>
      <c r="C19" s="661">
        <v>9.0999999999999998E-2</v>
      </c>
      <c r="D19" s="661" t="s">
        <v>109</v>
      </c>
      <c r="E19" s="661">
        <f>'Lead Chart 24-25'!N12</f>
        <v>1812.3700655723276</v>
      </c>
      <c r="F19" s="661">
        <f t="shared" si="0"/>
        <v>164.92567596708182</v>
      </c>
    </row>
    <row r="20" spans="1:6" ht="18.75">
      <c r="A20" s="476"/>
      <c r="B20" s="502" t="s">
        <v>186</v>
      </c>
      <c r="C20" s="661">
        <v>12</v>
      </c>
      <c r="D20" s="661" t="s">
        <v>608</v>
      </c>
      <c r="E20" s="661">
        <v>130</v>
      </c>
      <c r="F20" s="661">
        <f t="shared" si="0"/>
        <v>1560</v>
      </c>
    </row>
    <row r="21" spans="1:6" ht="18.75">
      <c r="A21" s="476"/>
      <c r="B21" s="504" t="s">
        <v>187</v>
      </c>
      <c r="C21" s="664"/>
      <c r="D21" s="664"/>
      <c r="E21" s="661"/>
      <c r="F21" s="661">
        <f>SUM(F12:F20)</f>
        <v>25835.175675967082</v>
      </c>
    </row>
    <row r="22" spans="1:6" ht="18.75">
      <c r="A22" s="476"/>
      <c r="B22" s="502" t="s">
        <v>965</v>
      </c>
      <c r="C22" s="665">
        <v>0.01</v>
      </c>
      <c r="D22" s="502"/>
      <c r="E22" s="505">
        <f>F21</f>
        <v>25835.175675967082</v>
      </c>
      <c r="F22" s="502">
        <f>C22*E22</f>
        <v>258.35175675967082</v>
      </c>
    </row>
    <row r="23" spans="1:6" ht="18.75">
      <c r="A23" s="476"/>
      <c r="B23" s="502" t="s">
        <v>189</v>
      </c>
      <c r="C23" s="502"/>
      <c r="D23" s="502"/>
      <c r="E23" s="502"/>
      <c r="F23" s="505">
        <f>F21+F22</f>
        <v>26093.527432726754</v>
      </c>
    </row>
    <row r="24" spans="1:6" ht="18.75">
      <c r="A24" s="476"/>
      <c r="B24" s="502" t="s">
        <v>190</v>
      </c>
      <c r="C24" s="666">
        <v>0.13614999999999999</v>
      </c>
      <c r="D24" s="502"/>
      <c r="E24" s="505">
        <f>F23</f>
        <v>26093.527432726754</v>
      </c>
      <c r="F24" s="502">
        <f>C24*E24</f>
        <v>3552.6337599657472</v>
      </c>
    </row>
    <row r="25" spans="1:6" ht="18.75">
      <c r="A25" s="476"/>
      <c r="B25" s="502" t="s">
        <v>993</v>
      </c>
      <c r="C25" s="666">
        <f>'Lead Chart 24-25'!J63</f>
        <v>0</v>
      </c>
      <c r="D25" s="502"/>
      <c r="E25" s="505">
        <f>SUM(F12:F15)</f>
        <v>5490.25</v>
      </c>
      <c r="F25" s="502">
        <f>C25*E25</f>
        <v>0</v>
      </c>
    </row>
    <row r="26" spans="1:6" ht="18.75">
      <c r="A26" s="476"/>
      <c r="B26" s="502" t="s">
        <v>992</v>
      </c>
      <c r="C26" s="502"/>
      <c r="D26" s="502"/>
      <c r="E26" s="502"/>
      <c r="F26" s="505">
        <f>SUM(F23:F25)</f>
        <v>29646.161192692503</v>
      </c>
    </row>
    <row r="27" spans="1:6" ht="18.75">
      <c r="A27" s="476"/>
      <c r="B27" s="502" t="s">
        <v>966</v>
      </c>
      <c r="C27" s="502"/>
      <c r="D27" s="502"/>
      <c r="E27" s="502"/>
      <c r="F27" s="504">
        <f>F26/30</f>
        <v>988.20537308975008</v>
      </c>
    </row>
  </sheetData>
  <mergeCells count="1">
    <mergeCell ref="B9:F9"/>
  </mergeCells>
  <pageMargins left="0.7" right="0.7" top="0.75" bottom="0.75" header="0.3" footer="0.3"/>
  <pageSetup paperSize="9" scale="72" orientation="portrait" r:id="rId1"/>
  <colBreaks count="1" manualBreakCount="1">
    <brk id="6" max="1048575" man="1"/>
  </colBreaks>
</worksheet>
</file>

<file path=xl/worksheets/sheet31.xml><?xml version="1.0" encoding="utf-8"?>
<worksheet xmlns="http://schemas.openxmlformats.org/spreadsheetml/2006/main" xmlns:r="http://schemas.openxmlformats.org/officeDocument/2006/relationships">
  <dimension ref="A1:S43"/>
  <sheetViews>
    <sheetView view="pageBreakPreview" topLeftCell="A28" zoomScaleSheetLayoutView="100" workbookViewId="0">
      <selection activeCell="M47" sqref="M47"/>
    </sheetView>
  </sheetViews>
  <sheetFormatPr defaultRowHeight="12.75"/>
  <cols>
    <col min="1" max="1" width="5.28515625" style="570" customWidth="1"/>
    <col min="2" max="2" width="10.85546875" style="570" customWidth="1"/>
    <col min="3" max="3" width="18.85546875" style="570" customWidth="1"/>
    <col min="4" max="4" width="15.85546875" style="570" customWidth="1"/>
    <col min="5" max="5" width="11" style="570" bestFit="1" customWidth="1"/>
    <col min="6" max="7" width="11.7109375" style="570" customWidth="1"/>
    <col min="8" max="8" width="11.5703125" style="570" customWidth="1"/>
    <col min="9" max="9" width="12.140625" style="570" customWidth="1"/>
    <col min="10" max="10" width="9.140625" style="570"/>
    <col min="11" max="11" width="4.42578125" style="570" customWidth="1"/>
    <col min="12" max="12" width="14.140625" style="570" customWidth="1"/>
    <col min="13" max="255" width="9.140625" style="570"/>
    <col min="256" max="256" width="5.28515625" style="570" customWidth="1"/>
    <col min="257" max="257" width="10.85546875" style="570" customWidth="1"/>
    <col min="258" max="258" width="13.42578125" style="570" customWidth="1"/>
    <col min="259" max="259" width="15.85546875" style="570" customWidth="1"/>
    <col min="260" max="260" width="9.7109375" style="570" bestFit="1" customWidth="1"/>
    <col min="261" max="262" width="11.7109375" style="570" customWidth="1"/>
    <col min="263" max="263" width="11.5703125" style="570" customWidth="1"/>
    <col min="264" max="264" width="12.140625" style="570" customWidth="1"/>
    <col min="265" max="266" width="9.140625" style="570"/>
    <col min="267" max="267" width="4.42578125" style="570" customWidth="1"/>
    <col min="268" max="268" width="14.140625" style="570" customWidth="1"/>
    <col min="269" max="511" width="9.140625" style="570"/>
    <col min="512" max="512" width="5.28515625" style="570" customWidth="1"/>
    <col min="513" max="513" width="10.85546875" style="570" customWidth="1"/>
    <col min="514" max="514" width="13.42578125" style="570" customWidth="1"/>
    <col min="515" max="515" width="15.85546875" style="570" customWidth="1"/>
    <col min="516" max="516" width="9.7109375" style="570" bestFit="1" customWidth="1"/>
    <col min="517" max="518" width="11.7109375" style="570" customWidth="1"/>
    <col min="519" max="519" width="11.5703125" style="570" customWidth="1"/>
    <col min="520" max="520" width="12.140625" style="570" customWidth="1"/>
    <col min="521" max="522" width="9.140625" style="570"/>
    <col min="523" max="523" width="4.42578125" style="570" customWidth="1"/>
    <col min="524" max="524" width="14.140625" style="570" customWidth="1"/>
    <col min="525" max="767" width="9.140625" style="570"/>
    <col min="768" max="768" width="5.28515625" style="570" customWidth="1"/>
    <col min="769" max="769" width="10.85546875" style="570" customWidth="1"/>
    <col min="770" max="770" width="13.42578125" style="570" customWidth="1"/>
    <col min="771" max="771" width="15.85546875" style="570" customWidth="1"/>
    <col min="772" max="772" width="9.7109375" style="570" bestFit="1" customWidth="1"/>
    <col min="773" max="774" width="11.7109375" style="570" customWidth="1"/>
    <col min="775" max="775" width="11.5703125" style="570" customWidth="1"/>
    <col min="776" max="776" width="12.140625" style="570" customWidth="1"/>
    <col min="777" max="778" width="9.140625" style="570"/>
    <col min="779" max="779" width="4.42578125" style="570" customWidth="1"/>
    <col min="780" max="780" width="14.140625" style="570" customWidth="1"/>
    <col min="781" max="1023" width="9.140625" style="570"/>
    <col min="1024" max="1024" width="5.28515625" style="570" customWidth="1"/>
    <col min="1025" max="1025" width="10.85546875" style="570" customWidth="1"/>
    <col min="1026" max="1026" width="13.42578125" style="570" customWidth="1"/>
    <col min="1027" max="1027" width="15.85546875" style="570" customWidth="1"/>
    <col min="1028" max="1028" width="9.7109375" style="570" bestFit="1" customWidth="1"/>
    <col min="1029" max="1030" width="11.7109375" style="570" customWidth="1"/>
    <col min="1031" max="1031" width="11.5703125" style="570" customWidth="1"/>
    <col min="1032" max="1032" width="12.140625" style="570" customWidth="1"/>
    <col min="1033" max="1034" width="9.140625" style="570"/>
    <col min="1035" max="1035" width="4.42578125" style="570" customWidth="1"/>
    <col min="1036" max="1036" width="14.140625" style="570" customWidth="1"/>
    <col min="1037" max="1279" width="9.140625" style="570"/>
    <col min="1280" max="1280" width="5.28515625" style="570" customWidth="1"/>
    <col min="1281" max="1281" width="10.85546875" style="570" customWidth="1"/>
    <col min="1282" max="1282" width="13.42578125" style="570" customWidth="1"/>
    <col min="1283" max="1283" width="15.85546875" style="570" customWidth="1"/>
    <col min="1284" max="1284" width="9.7109375" style="570" bestFit="1" customWidth="1"/>
    <col min="1285" max="1286" width="11.7109375" style="570" customWidth="1"/>
    <col min="1287" max="1287" width="11.5703125" style="570" customWidth="1"/>
    <col min="1288" max="1288" width="12.140625" style="570" customWidth="1"/>
    <col min="1289" max="1290" width="9.140625" style="570"/>
    <col min="1291" max="1291" width="4.42578125" style="570" customWidth="1"/>
    <col min="1292" max="1292" width="14.140625" style="570" customWidth="1"/>
    <col min="1293" max="1535" width="9.140625" style="570"/>
    <col min="1536" max="1536" width="5.28515625" style="570" customWidth="1"/>
    <col min="1537" max="1537" width="10.85546875" style="570" customWidth="1"/>
    <col min="1538" max="1538" width="13.42578125" style="570" customWidth="1"/>
    <col min="1539" max="1539" width="15.85546875" style="570" customWidth="1"/>
    <col min="1540" max="1540" width="9.7109375" style="570" bestFit="1" customWidth="1"/>
    <col min="1541" max="1542" width="11.7109375" style="570" customWidth="1"/>
    <col min="1543" max="1543" width="11.5703125" style="570" customWidth="1"/>
    <col min="1544" max="1544" width="12.140625" style="570" customWidth="1"/>
    <col min="1545" max="1546" width="9.140625" style="570"/>
    <col min="1547" max="1547" width="4.42578125" style="570" customWidth="1"/>
    <col min="1548" max="1548" width="14.140625" style="570" customWidth="1"/>
    <col min="1549" max="1791" width="9.140625" style="570"/>
    <col min="1792" max="1792" width="5.28515625" style="570" customWidth="1"/>
    <col min="1793" max="1793" width="10.85546875" style="570" customWidth="1"/>
    <col min="1794" max="1794" width="13.42578125" style="570" customWidth="1"/>
    <col min="1795" max="1795" width="15.85546875" style="570" customWidth="1"/>
    <col min="1796" max="1796" width="9.7109375" style="570" bestFit="1" customWidth="1"/>
    <col min="1797" max="1798" width="11.7109375" style="570" customWidth="1"/>
    <col min="1799" max="1799" width="11.5703125" style="570" customWidth="1"/>
    <col min="1800" max="1800" width="12.140625" style="570" customWidth="1"/>
    <col min="1801" max="1802" width="9.140625" style="570"/>
    <col min="1803" max="1803" width="4.42578125" style="570" customWidth="1"/>
    <col min="1804" max="1804" width="14.140625" style="570" customWidth="1"/>
    <col min="1805" max="2047" width="9.140625" style="570"/>
    <col min="2048" max="2048" width="5.28515625" style="570" customWidth="1"/>
    <col min="2049" max="2049" width="10.85546875" style="570" customWidth="1"/>
    <col min="2050" max="2050" width="13.42578125" style="570" customWidth="1"/>
    <col min="2051" max="2051" width="15.85546875" style="570" customWidth="1"/>
    <col min="2052" max="2052" width="9.7109375" style="570" bestFit="1" customWidth="1"/>
    <col min="2053" max="2054" width="11.7109375" style="570" customWidth="1"/>
    <col min="2055" max="2055" width="11.5703125" style="570" customWidth="1"/>
    <col min="2056" max="2056" width="12.140625" style="570" customWidth="1"/>
    <col min="2057" max="2058" width="9.140625" style="570"/>
    <col min="2059" max="2059" width="4.42578125" style="570" customWidth="1"/>
    <col min="2060" max="2060" width="14.140625" style="570" customWidth="1"/>
    <col min="2061" max="2303" width="9.140625" style="570"/>
    <col min="2304" max="2304" width="5.28515625" style="570" customWidth="1"/>
    <col min="2305" max="2305" width="10.85546875" style="570" customWidth="1"/>
    <col min="2306" max="2306" width="13.42578125" style="570" customWidth="1"/>
    <col min="2307" max="2307" width="15.85546875" style="570" customWidth="1"/>
    <col min="2308" max="2308" width="9.7109375" style="570" bestFit="1" customWidth="1"/>
    <col min="2309" max="2310" width="11.7109375" style="570" customWidth="1"/>
    <col min="2311" max="2311" width="11.5703125" style="570" customWidth="1"/>
    <col min="2312" max="2312" width="12.140625" style="570" customWidth="1"/>
    <col min="2313" max="2314" width="9.140625" style="570"/>
    <col min="2315" max="2315" width="4.42578125" style="570" customWidth="1"/>
    <col min="2316" max="2316" width="14.140625" style="570" customWidth="1"/>
    <col min="2317" max="2559" width="9.140625" style="570"/>
    <col min="2560" max="2560" width="5.28515625" style="570" customWidth="1"/>
    <col min="2561" max="2561" width="10.85546875" style="570" customWidth="1"/>
    <col min="2562" max="2562" width="13.42578125" style="570" customWidth="1"/>
    <col min="2563" max="2563" width="15.85546875" style="570" customWidth="1"/>
    <col min="2564" max="2564" width="9.7109375" style="570" bestFit="1" customWidth="1"/>
    <col min="2565" max="2566" width="11.7109375" style="570" customWidth="1"/>
    <col min="2567" max="2567" width="11.5703125" style="570" customWidth="1"/>
    <col min="2568" max="2568" width="12.140625" style="570" customWidth="1"/>
    <col min="2569" max="2570" width="9.140625" style="570"/>
    <col min="2571" max="2571" width="4.42578125" style="570" customWidth="1"/>
    <col min="2572" max="2572" width="14.140625" style="570" customWidth="1"/>
    <col min="2573" max="2815" width="9.140625" style="570"/>
    <col min="2816" max="2816" width="5.28515625" style="570" customWidth="1"/>
    <col min="2817" max="2817" width="10.85546875" style="570" customWidth="1"/>
    <col min="2818" max="2818" width="13.42578125" style="570" customWidth="1"/>
    <col min="2819" max="2819" width="15.85546875" style="570" customWidth="1"/>
    <col min="2820" max="2820" width="9.7109375" style="570" bestFit="1" customWidth="1"/>
    <col min="2821" max="2822" width="11.7109375" style="570" customWidth="1"/>
    <col min="2823" max="2823" width="11.5703125" style="570" customWidth="1"/>
    <col min="2824" max="2824" width="12.140625" style="570" customWidth="1"/>
    <col min="2825" max="2826" width="9.140625" style="570"/>
    <col min="2827" max="2827" width="4.42578125" style="570" customWidth="1"/>
    <col min="2828" max="2828" width="14.140625" style="570" customWidth="1"/>
    <col min="2829" max="3071" width="9.140625" style="570"/>
    <col min="3072" max="3072" width="5.28515625" style="570" customWidth="1"/>
    <col min="3073" max="3073" width="10.85546875" style="570" customWidth="1"/>
    <col min="3074" max="3074" width="13.42578125" style="570" customWidth="1"/>
    <col min="3075" max="3075" width="15.85546875" style="570" customWidth="1"/>
    <col min="3076" max="3076" width="9.7109375" style="570" bestFit="1" customWidth="1"/>
    <col min="3077" max="3078" width="11.7109375" style="570" customWidth="1"/>
    <col min="3079" max="3079" width="11.5703125" style="570" customWidth="1"/>
    <col min="3080" max="3080" width="12.140625" style="570" customWidth="1"/>
    <col min="3081" max="3082" width="9.140625" style="570"/>
    <col min="3083" max="3083" width="4.42578125" style="570" customWidth="1"/>
    <col min="3084" max="3084" width="14.140625" style="570" customWidth="1"/>
    <col min="3085" max="3327" width="9.140625" style="570"/>
    <col min="3328" max="3328" width="5.28515625" style="570" customWidth="1"/>
    <col min="3329" max="3329" width="10.85546875" style="570" customWidth="1"/>
    <col min="3330" max="3330" width="13.42578125" style="570" customWidth="1"/>
    <col min="3331" max="3331" width="15.85546875" style="570" customWidth="1"/>
    <col min="3332" max="3332" width="9.7109375" style="570" bestFit="1" customWidth="1"/>
    <col min="3333" max="3334" width="11.7109375" style="570" customWidth="1"/>
    <col min="3335" max="3335" width="11.5703125" style="570" customWidth="1"/>
    <col min="3336" max="3336" width="12.140625" style="570" customWidth="1"/>
    <col min="3337" max="3338" width="9.140625" style="570"/>
    <col min="3339" max="3339" width="4.42578125" style="570" customWidth="1"/>
    <col min="3340" max="3340" width="14.140625" style="570" customWidth="1"/>
    <col min="3341" max="3583" width="9.140625" style="570"/>
    <col min="3584" max="3584" width="5.28515625" style="570" customWidth="1"/>
    <col min="3585" max="3585" width="10.85546875" style="570" customWidth="1"/>
    <col min="3586" max="3586" width="13.42578125" style="570" customWidth="1"/>
    <col min="3587" max="3587" width="15.85546875" style="570" customWidth="1"/>
    <col min="3588" max="3588" width="9.7109375" style="570" bestFit="1" customWidth="1"/>
    <col min="3589" max="3590" width="11.7109375" style="570" customWidth="1"/>
    <col min="3591" max="3591" width="11.5703125" style="570" customWidth="1"/>
    <col min="3592" max="3592" width="12.140625" style="570" customWidth="1"/>
    <col min="3593" max="3594" width="9.140625" style="570"/>
    <col min="3595" max="3595" width="4.42578125" style="570" customWidth="1"/>
    <col min="3596" max="3596" width="14.140625" style="570" customWidth="1"/>
    <col min="3597" max="3839" width="9.140625" style="570"/>
    <col min="3840" max="3840" width="5.28515625" style="570" customWidth="1"/>
    <col min="3841" max="3841" width="10.85546875" style="570" customWidth="1"/>
    <col min="3842" max="3842" width="13.42578125" style="570" customWidth="1"/>
    <col min="3843" max="3843" width="15.85546875" style="570" customWidth="1"/>
    <col min="3844" max="3844" width="9.7109375" style="570" bestFit="1" customWidth="1"/>
    <col min="3845" max="3846" width="11.7109375" style="570" customWidth="1"/>
    <col min="3847" max="3847" width="11.5703125" style="570" customWidth="1"/>
    <col min="3848" max="3848" width="12.140625" style="570" customWidth="1"/>
    <col min="3849" max="3850" width="9.140625" style="570"/>
    <col min="3851" max="3851" width="4.42578125" style="570" customWidth="1"/>
    <col min="3852" max="3852" width="14.140625" style="570" customWidth="1"/>
    <col min="3853" max="4095" width="9.140625" style="570"/>
    <col min="4096" max="4096" width="5.28515625" style="570" customWidth="1"/>
    <col min="4097" max="4097" width="10.85546875" style="570" customWidth="1"/>
    <col min="4098" max="4098" width="13.42578125" style="570" customWidth="1"/>
    <col min="4099" max="4099" width="15.85546875" style="570" customWidth="1"/>
    <col min="4100" max="4100" width="9.7109375" style="570" bestFit="1" customWidth="1"/>
    <col min="4101" max="4102" width="11.7109375" style="570" customWidth="1"/>
    <col min="4103" max="4103" width="11.5703125" style="570" customWidth="1"/>
    <col min="4104" max="4104" width="12.140625" style="570" customWidth="1"/>
    <col min="4105" max="4106" width="9.140625" style="570"/>
    <col min="4107" max="4107" width="4.42578125" style="570" customWidth="1"/>
    <col min="4108" max="4108" width="14.140625" style="570" customWidth="1"/>
    <col min="4109" max="4351" width="9.140625" style="570"/>
    <col min="4352" max="4352" width="5.28515625" style="570" customWidth="1"/>
    <col min="4353" max="4353" width="10.85546875" style="570" customWidth="1"/>
    <col min="4354" max="4354" width="13.42578125" style="570" customWidth="1"/>
    <col min="4355" max="4355" width="15.85546875" style="570" customWidth="1"/>
    <col min="4356" max="4356" width="9.7109375" style="570" bestFit="1" customWidth="1"/>
    <col min="4357" max="4358" width="11.7109375" style="570" customWidth="1"/>
    <col min="4359" max="4359" width="11.5703125" style="570" customWidth="1"/>
    <col min="4360" max="4360" width="12.140625" style="570" customWidth="1"/>
    <col min="4361" max="4362" width="9.140625" style="570"/>
    <col min="4363" max="4363" width="4.42578125" style="570" customWidth="1"/>
    <col min="4364" max="4364" width="14.140625" style="570" customWidth="1"/>
    <col min="4365" max="4607" width="9.140625" style="570"/>
    <col min="4608" max="4608" width="5.28515625" style="570" customWidth="1"/>
    <col min="4609" max="4609" width="10.85546875" style="570" customWidth="1"/>
    <col min="4610" max="4610" width="13.42578125" style="570" customWidth="1"/>
    <col min="4611" max="4611" width="15.85546875" style="570" customWidth="1"/>
    <col min="4612" max="4612" width="9.7109375" style="570" bestFit="1" customWidth="1"/>
    <col min="4613" max="4614" width="11.7109375" style="570" customWidth="1"/>
    <col min="4615" max="4615" width="11.5703125" style="570" customWidth="1"/>
    <col min="4616" max="4616" width="12.140625" style="570" customWidth="1"/>
    <col min="4617" max="4618" width="9.140625" style="570"/>
    <col min="4619" max="4619" width="4.42578125" style="570" customWidth="1"/>
    <col min="4620" max="4620" width="14.140625" style="570" customWidth="1"/>
    <col min="4621" max="4863" width="9.140625" style="570"/>
    <col min="4864" max="4864" width="5.28515625" style="570" customWidth="1"/>
    <col min="4865" max="4865" width="10.85546875" style="570" customWidth="1"/>
    <col min="4866" max="4866" width="13.42578125" style="570" customWidth="1"/>
    <col min="4867" max="4867" width="15.85546875" style="570" customWidth="1"/>
    <col min="4868" max="4868" width="9.7109375" style="570" bestFit="1" customWidth="1"/>
    <col min="4869" max="4870" width="11.7109375" style="570" customWidth="1"/>
    <col min="4871" max="4871" width="11.5703125" style="570" customWidth="1"/>
    <col min="4872" max="4872" width="12.140625" style="570" customWidth="1"/>
    <col min="4873" max="4874" width="9.140625" style="570"/>
    <col min="4875" max="4875" width="4.42578125" style="570" customWidth="1"/>
    <col min="4876" max="4876" width="14.140625" style="570" customWidth="1"/>
    <col min="4877" max="5119" width="9.140625" style="570"/>
    <col min="5120" max="5120" width="5.28515625" style="570" customWidth="1"/>
    <col min="5121" max="5121" width="10.85546875" style="570" customWidth="1"/>
    <col min="5122" max="5122" width="13.42578125" style="570" customWidth="1"/>
    <col min="5123" max="5123" width="15.85546875" style="570" customWidth="1"/>
    <col min="5124" max="5124" width="9.7109375" style="570" bestFit="1" customWidth="1"/>
    <col min="5125" max="5126" width="11.7109375" style="570" customWidth="1"/>
    <col min="5127" max="5127" width="11.5703125" style="570" customWidth="1"/>
    <col min="5128" max="5128" width="12.140625" style="570" customWidth="1"/>
    <col min="5129" max="5130" width="9.140625" style="570"/>
    <col min="5131" max="5131" width="4.42578125" style="570" customWidth="1"/>
    <col min="5132" max="5132" width="14.140625" style="570" customWidth="1"/>
    <col min="5133" max="5375" width="9.140625" style="570"/>
    <col min="5376" max="5376" width="5.28515625" style="570" customWidth="1"/>
    <col min="5377" max="5377" width="10.85546875" style="570" customWidth="1"/>
    <col min="5378" max="5378" width="13.42578125" style="570" customWidth="1"/>
    <col min="5379" max="5379" width="15.85546875" style="570" customWidth="1"/>
    <col min="5380" max="5380" width="9.7109375" style="570" bestFit="1" customWidth="1"/>
    <col min="5381" max="5382" width="11.7109375" style="570" customWidth="1"/>
    <col min="5383" max="5383" width="11.5703125" style="570" customWidth="1"/>
    <col min="5384" max="5384" width="12.140625" style="570" customWidth="1"/>
    <col min="5385" max="5386" width="9.140625" style="570"/>
    <col min="5387" max="5387" width="4.42578125" style="570" customWidth="1"/>
    <col min="5388" max="5388" width="14.140625" style="570" customWidth="1"/>
    <col min="5389" max="5631" width="9.140625" style="570"/>
    <col min="5632" max="5632" width="5.28515625" style="570" customWidth="1"/>
    <col min="5633" max="5633" width="10.85546875" style="570" customWidth="1"/>
    <col min="5634" max="5634" width="13.42578125" style="570" customWidth="1"/>
    <col min="5635" max="5635" width="15.85546875" style="570" customWidth="1"/>
    <col min="5636" max="5636" width="9.7109375" style="570" bestFit="1" customWidth="1"/>
    <col min="5637" max="5638" width="11.7109375" style="570" customWidth="1"/>
    <col min="5639" max="5639" width="11.5703125" style="570" customWidth="1"/>
    <col min="5640" max="5640" width="12.140625" style="570" customWidth="1"/>
    <col min="5641" max="5642" width="9.140625" style="570"/>
    <col min="5643" max="5643" width="4.42578125" style="570" customWidth="1"/>
    <col min="5644" max="5644" width="14.140625" style="570" customWidth="1"/>
    <col min="5645" max="5887" width="9.140625" style="570"/>
    <col min="5888" max="5888" width="5.28515625" style="570" customWidth="1"/>
    <col min="5889" max="5889" width="10.85546875" style="570" customWidth="1"/>
    <col min="5890" max="5890" width="13.42578125" style="570" customWidth="1"/>
    <col min="5891" max="5891" width="15.85546875" style="570" customWidth="1"/>
    <col min="5892" max="5892" width="9.7109375" style="570" bestFit="1" customWidth="1"/>
    <col min="5893" max="5894" width="11.7109375" style="570" customWidth="1"/>
    <col min="5895" max="5895" width="11.5703125" style="570" customWidth="1"/>
    <col min="5896" max="5896" width="12.140625" style="570" customWidth="1"/>
    <col min="5897" max="5898" width="9.140625" style="570"/>
    <col min="5899" max="5899" width="4.42578125" style="570" customWidth="1"/>
    <col min="5900" max="5900" width="14.140625" style="570" customWidth="1"/>
    <col min="5901" max="6143" width="9.140625" style="570"/>
    <col min="6144" max="6144" width="5.28515625" style="570" customWidth="1"/>
    <col min="6145" max="6145" width="10.85546875" style="570" customWidth="1"/>
    <col min="6146" max="6146" width="13.42578125" style="570" customWidth="1"/>
    <col min="6147" max="6147" width="15.85546875" style="570" customWidth="1"/>
    <col min="6148" max="6148" width="9.7109375" style="570" bestFit="1" customWidth="1"/>
    <col min="6149" max="6150" width="11.7109375" style="570" customWidth="1"/>
    <col min="6151" max="6151" width="11.5703125" style="570" customWidth="1"/>
    <col min="6152" max="6152" width="12.140625" style="570" customWidth="1"/>
    <col min="6153" max="6154" width="9.140625" style="570"/>
    <col min="6155" max="6155" width="4.42578125" style="570" customWidth="1"/>
    <col min="6156" max="6156" width="14.140625" style="570" customWidth="1"/>
    <col min="6157" max="6399" width="9.140625" style="570"/>
    <col min="6400" max="6400" width="5.28515625" style="570" customWidth="1"/>
    <col min="6401" max="6401" width="10.85546875" style="570" customWidth="1"/>
    <col min="6402" max="6402" width="13.42578125" style="570" customWidth="1"/>
    <col min="6403" max="6403" width="15.85546875" style="570" customWidth="1"/>
    <col min="6404" max="6404" width="9.7109375" style="570" bestFit="1" customWidth="1"/>
    <col min="6405" max="6406" width="11.7109375" style="570" customWidth="1"/>
    <col min="6407" max="6407" width="11.5703125" style="570" customWidth="1"/>
    <col min="6408" max="6408" width="12.140625" style="570" customWidth="1"/>
    <col min="6409" max="6410" width="9.140625" style="570"/>
    <col min="6411" max="6411" width="4.42578125" style="570" customWidth="1"/>
    <col min="6412" max="6412" width="14.140625" style="570" customWidth="1"/>
    <col min="6413" max="6655" width="9.140625" style="570"/>
    <col min="6656" max="6656" width="5.28515625" style="570" customWidth="1"/>
    <col min="6657" max="6657" width="10.85546875" style="570" customWidth="1"/>
    <col min="6658" max="6658" width="13.42578125" style="570" customWidth="1"/>
    <col min="6659" max="6659" width="15.85546875" style="570" customWidth="1"/>
    <col min="6660" max="6660" width="9.7109375" style="570" bestFit="1" customWidth="1"/>
    <col min="6661" max="6662" width="11.7109375" style="570" customWidth="1"/>
    <col min="6663" max="6663" width="11.5703125" style="570" customWidth="1"/>
    <col min="6664" max="6664" width="12.140625" style="570" customWidth="1"/>
    <col min="6665" max="6666" width="9.140625" style="570"/>
    <col min="6667" max="6667" width="4.42578125" style="570" customWidth="1"/>
    <col min="6668" max="6668" width="14.140625" style="570" customWidth="1"/>
    <col min="6669" max="6911" width="9.140625" style="570"/>
    <col min="6912" max="6912" width="5.28515625" style="570" customWidth="1"/>
    <col min="6913" max="6913" width="10.85546875" style="570" customWidth="1"/>
    <col min="6914" max="6914" width="13.42578125" style="570" customWidth="1"/>
    <col min="6915" max="6915" width="15.85546875" style="570" customWidth="1"/>
    <col min="6916" max="6916" width="9.7109375" style="570" bestFit="1" customWidth="1"/>
    <col min="6917" max="6918" width="11.7109375" style="570" customWidth="1"/>
    <col min="6919" max="6919" width="11.5703125" style="570" customWidth="1"/>
    <col min="6920" max="6920" width="12.140625" style="570" customWidth="1"/>
    <col min="6921" max="6922" width="9.140625" style="570"/>
    <col min="6923" max="6923" width="4.42578125" style="570" customWidth="1"/>
    <col min="6924" max="6924" width="14.140625" style="570" customWidth="1"/>
    <col min="6925" max="7167" width="9.140625" style="570"/>
    <col min="7168" max="7168" width="5.28515625" style="570" customWidth="1"/>
    <col min="7169" max="7169" width="10.85546875" style="570" customWidth="1"/>
    <col min="7170" max="7170" width="13.42578125" style="570" customWidth="1"/>
    <col min="7171" max="7171" width="15.85546875" style="570" customWidth="1"/>
    <col min="7172" max="7172" width="9.7109375" style="570" bestFit="1" customWidth="1"/>
    <col min="7173" max="7174" width="11.7109375" style="570" customWidth="1"/>
    <col min="7175" max="7175" width="11.5703125" style="570" customWidth="1"/>
    <col min="7176" max="7176" width="12.140625" style="570" customWidth="1"/>
    <col min="7177" max="7178" width="9.140625" style="570"/>
    <col min="7179" max="7179" width="4.42578125" style="570" customWidth="1"/>
    <col min="7180" max="7180" width="14.140625" style="570" customWidth="1"/>
    <col min="7181" max="7423" width="9.140625" style="570"/>
    <col min="7424" max="7424" width="5.28515625" style="570" customWidth="1"/>
    <col min="7425" max="7425" width="10.85546875" style="570" customWidth="1"/>
    <col min="7426" max="7426" width="13.42578125" style="570" customWidth="1"/>
    <col min="7427" max="7427" width="15.85546875" style="570" customWidth="1"/>
    <col min="7428" max="7428" width="9.7109375" style="570" bestFit="1" customWidth="1"/>
    <col min="7429" max="7430" width="11.7109375" style="570" customWidth="1"/>
    <col min="7431" max="7431" width="11.5703125" style="570" customWidth="1"/>
    <col min="7432" max="7432" width="12.140625" style="570" customWidth="1"/>
    <col min="7433" max="7434" width="9.140625" style="570"/>
    <col min="7435" max="7435" width="4.42578125" style="570" customWidth="1"/>
    <col min="7436" max="7436" width="14.140625" style="570" customWidth="1"/>
    <col min="7437" max="7679" width="9.140625" style="570"/>
    <col min="7680" max="7680" width="5.28515625" style="570" customWidth="1"/>
    <col min="7681" max="7681" width="10.85546875" style="570" customWidth="1"/>
    <col min="7682" max="7682" width="13.42578125" style="570" customWidth="1"/>
    <col min="7683" max="7683" width="15.85546875" style="570" customWidth="1"/>
    <col min="7684" max="7684" width="9.7109375" style="570" bestFit="1" customWidth="1"/>
    <col min="7685" max="7686" width="11.7109375" style="570" customWidth="1"/>
    <col min="7687" max="7687" width="11.5703125" style="570" customWidth="1"/>
    <col min="7688" max="7688" width="12.140625" style="570" customWidth="1"/>
    <col min="7689" max="7690" width="9.140625" style="570"/>
    <col min="7691" max="7691" width="4.42578125" style="570" customWidth="1"/>
    <col min="7692" max="7692" width="14.140625" style="570" customWidth="1"/>
    <col min="7693" max="7935" width="9.140625" style="570"/>
    <col min="7936" max="7936" width="5.28515625" style="570" customWidth="1"/>
    <col min="7937" max="7937" width="10.85546875" style="570" customWidth="1"/>
    <col min="7938" max="7938" width="13.42578125" style="570" customWidth="1"/>
    <col min="7939" max="7939" width="15.85546875" style="570" customWidth="1"/>
    <col min="7940" max="7940" width="9.7109375" style="570" bestFit="1" customWidth="1"/>
    <col min="7941" max="7942" width="11.7109375" style="570" customWidth="1"/>
    <col min="7943" max="7943" width="11.5703125" style="570" customWidth="1"/>
    <col min="7944" max="7944" width="12.140625" style="570" customWidth="1"/>
    <col min="7945" max="7946" width="9.140625" style="570"/>
    <col min="7947" max="7947" width="4.42578125" style="570" customWidth="1"/>
    <col min="7948" max="7948" width="14.140625" style="570" customWidth="1"/>
    <col min="7949" max="8191" width="9.140625" style="570"/>
    <col min="8192" max="8192" width="5.28515625" style="570" customWidth="1"/>
    <col min="8193" max="8193" width="10.85546875" style="570" customWidth="1"/>
    <col min="8194" max="8194" width="13.42578125" style="570" customWidth="1"/>
    <col min="8195" max="8195" width="15.85546875" style="570" customWidth="1"/>
    <col min="8196" max="8196" width="9.7109375" style="570" bestFit="1" customWidth="1"/>
    <col min="8197" max="8198" width="11.7109375" style="570" customWidth="1"/>
    <col min="8199" max="8199" width="11.5703125" style="570" customWidth="1"/>
    <col min="8200" max="8200" width="12.140625" style="570" customWidth="1"/>
    <col min="8201" max="8202" width="9.140625" style="570"/>
    <col min="8203" max="8203" width="4.42578125" style="570" customWidth="1"/>
    <col min="8204" max="8204" width="14.140625" style="570" customWidth="1"/>
    <col min="8205" max="8447" width="9.140625" style="570"/>
    <col min="8448" max="8448" width="5.28515625" style="570" customWidth="1"/>
    <col min="8449" max="8449" width="10.85546875" style="570" customWidth="1"/>
    <col min="8450" max="8450" width="13.42578125" style="570" customWidth="1"/>
    <col min="8451" max="8451" width="15.85546875" style="570" customWidth="1"/>
    <col min="8452" max="8452" width="9.7109375" style="570" bestFit="1" customWidth="1"/>
    <col min="8453" max="8454" width="11.7109375" style="570" customWidth="1"/>
    <col min="8455" max="8455" width="11.5703125" style="570" customWidth="1"/>
    <col min="8456" max="8456" width="12.140625" style="570" customWidth="1"/>
    <col min="8457" max="8458" width="9.140625" style="570"/>
    <col min="8459" max="8459" width="4.42578125" style="570" customWidth="1"/>
    <col min="8460" max="8460" width="14.140625" style="570" customWidth="1"/>
    <col min="8461" max="8703" width="9.140625" style="570"/>
    <col min="8704" max="8704" width="5.28515625" style="570" customWidth="1"/>
    <col min="8705" max="8705" width="10.85546875" style="570" customWidth="1"/>
    <col min="8706" max="8706" width="13.42578125" style="570" customWidth="1"/>
    <col min="8707" max="8707" width="15.85546875" style="570" customWidth="1"/>
    <col min="8708" max="8708" width="9.7109375" style="570" bestFit="1" customWidth="1"/>
    <col min="8709" max="8710" width="11.7109375" style="570" customWidth="1"/>
    <col min="8711" max="8711" width="11.5703125" style="570" customWidth="1"/>
    <col min="8712" max="8712" width="12.140625" style="570" customWidth="1"/>
    <col min="8713" max="8714" width="9.140625" style="570"/>
    <col min="8715" max="8715" width="4.42578125" style="570" customWidth="1"/>
    <col min="8716" max="8716" width="14.140625" style="570" customWidth="1"/>
    <col min="8717" max="8959" width="9.140625" style="570"/>
    <col min="8960" max="8960" width="5.28515625" style="570" customWidth="1"/>
    <col min="8961" max="8961" width="10.85546875" style="570" customWidth="1"/>
    <col min="8962" max="8962" width="13.42578125" style="570" customWidth="1"/>
    <col min="8963" max="8963" width="15.85546875" style="570" customWidth="1"/>
    <col min="8964" max="8964" width="9.7109375" style="570" bestFit="1" customWidth="1"/>
    <col min="8965" max="8966" width="11.7109375" style="570" customWidth="1"/>
    <col min="8967" max="8967" width="11.5703125" style="570" customWidth="1"/>
    <col min="8968" max="8968" width="12.140625" style="570" customWidth="1"/>
    <col min="8969" max="8970" width="9.140625" style="570"/>
    <col min="8971" max="8971" width="4.42578125" style="570" customWidth="1"/>
    <col min="8972" max="8972" width="14.140625" style="570" customWidth="1"/>
    <col min="8973" max="9215" width="9.140625" style="570"/>
    <col min="9216" max="9216" width="5.28515625" style="570" customWidth="1"/>
    <col min="9217" max="9217" width="10.85546875" style="570" customWidth="1"/>
    <col min="9218" max="9218" width="13.42578125" style="570" customWidth="1"/>
    <col min="9219" max="9219" width="15.85546875" style="570" customWidth="1"/>
    <col min="9220" max="9220" width="9.7109375" style="570" bestFit="1" customWidth="1"/>
    <col min="9221" max="9222" width="11.7109375" style="570" customWidth="1"/>
    <col min="9223" max="9223" width="11.5703125" style="570" customWidth="1"/>
    <col min="9224" max="9224" width="12.140625" style="570" customWidth="1"/>
    <col min="9225" max="9226" width="9.140625" style="570"/>
    <col min="9227" max="9227" width="4.42578125" style="570" customWidth="1"/>
    <col min="9228" max="9228" width="14.140625" style="570" customWidth="1"/>
    <col min="9229" max="9471" width="9.140625" style="570"/>
    <col min="9472" max="9472" width="5.28515625" style="570" customWidth="1"/>
    <col min="9473" max="9473" width="10.85546875" style="570" customWidth="1"/>
    <col min="9474" max="9474" width="13.42578125" style="570" customWidth="1"/>
    <col min="9475" max="9475" width="15.85546875" style="570" customWidth="1"/>
    <col min="9476" max="9476" width="9.7109375" style="570" bestFit="1" customWidth="1"/>
    <col min="9477" max="9478" width="11.7109375" style="570" customWidth="1"/>
    <col min="9479" max="9479" width="11.5703125" style="570" customWidth="1"/>
    <col min="9480" max="9480" width="12.140625" style="570" customWidth="1"/>
    <col min="9481" max="9482" width="9.140625" style="570"/>
    <col min="9483" max="9483" width="4.42578125" style="570" customWidth="1"/>
    <col min="9484" max="9484" width="14.140625" style="570" customWidth="1"/>
    <col min="9485" max="9727" width="9.140625" style="570"/>
    <col min="9728" max="9728" width="5.28515625" style="570" customWidth="1"/>
    <col min="9729" max="9729" width="10.85546875" style="570" customWidth="1"/>
    <col min="9730" max="9730" width="13.42578125" style="570" customWidth="1"/>
    <col min="9731" max="9731" width="15.85546875" style="570" customWidth="1"/>
    <col min="9732" max="9732" width="9.7109375" style="570" bestFit="1" customWidth="1"/>
    <col min="9733" max="9734" width="11.7109375" style="570" customWidth="1"/>
    <col min="9735" max="9735" width="11.5703125" style="570" customWidth="1"/>
    <col min="9736" max="9736" width="12.140625" style="570" customWidth="1"/>
    <col min="9737" max="9738" width="9.140625" style="570"/>
    <col min="9739" max="9739" width="4.42578125" style="570" customWidth="1"/>
    <col min="9740" max="9740" width="14.140625" style="570" customWidth="1"/>
    <col min="9741" max="9983" width="9.140625" style="570"/>
    <col min="9984" max="9984" width="5.28515625" style="570" customWidth="1"/>
    <col min="9985" max="9985" width="10.85546875" style="570" customWidth="1"/>
    <col min="9986" max="9986" width="13.42578125" style="570" customWidth="1"/>
    <col min="9987" max="9987" width="15.85546875" style="570" customWidth="1"/>
    <col min="9988" max="9988" width="9.7109375" style="570" bestFit="1" customWidth="1"/>
    <col min="9989" max="9990" width="11.7109375" style="570" customWidth="1"/>
    <col min="9991" max="9991" width="11.5703125" style="570" customWidth="1"/>
    <col min="9992" max="9992" width="12.140625" style="570" customWidth="1"/>
    <col min="9993" max="9994" width="9.140625" style="570"/>
    <col min="9995" max="9995" width="4.42578125" style="570" customWidth="1"/>
    <col min="9996" max="9996" width="14.140625" style="570" customWidth="1"/>
    <col min="9997" max="10239" width="9.140625" style="570"/>
    <col min="10240" max="10240" width="5.28515625" style="570" customWidth="1"/>
    <col min="10241" max="10241" width="10.85546875" style="570" customWidth="1"/>
    <col min="10242" max="10242" width="13.42578125" style="570" customWidth="1"/>
    <col min="10243" max="10243" width="15.85546875" style="570" customWidth="1"/>
    <col min="10244" max="10244" width="9.7109375" style="570" bestFit="1" customWidth="1"/>
    <col min="10245" max="10246" width="11.7109375" style="570" customWidth="1"/>
    <col min="10247" max="10247" width="11.5703125" style="570" customWidth="1"/>
    <col min="10248" max="10248" width="12.140625" style="570" customWidth="1"/>
    <col min="10249" max="10250" width="9.140625" style="570"/>
    <col min="10251" max="10251" width="4.42578125" style="570" customWidth="1"/>
    <col min="10252" max="10252" width="14.140625" style="570" customWidth="1"/>
    <col min="10253" max="10495" width="9.140625" style="570"/>
    <col min="10496" max="10496" width="5.28515625" style="570" customWidth="1"/>
    <col min="10497" max="10497" width="10.85546875" style="570" customWidth="1"/>
    <col min="10498" max="10498" width="13.42578125" style="570" customWidth="1"/>
    <col min="10499" max="10499" width="15.85546875" style="570" customWidth="1"/>
    <col min="10500" max="10500" width="9.7109375" style="570" bestFit="1" customWidth="1"/>
    <col min="10501" max="10502" width="11.7109375" style="570" customWidth="1"/>
    <col min="10503" max="10503" width="11.5703125" style="570" customWidth="1"/>
    <col min="10504" max="10504" width="12.140625" style="570" customWidth="1"/>
    <col min="10505" max="10506" width="9.140625" style="570"/>
    <col min="10507" max="10507" width="4.42578125" style="570" customWidth="1"/>
    <col min="10508" max="10508" width="14.140625" style="570" customWidth="1"/>
    <col min="10509" max="10751" width="9.140625" style="570"/>
    <col min="10752" max="10752" width="5.28515625" style="570" customWidth="1"/>
    <col min="10753" max="10753" width="10.85546875" style="570" customWidth="1"/>
    <col min="10754" max="10754" width="13.42578125" style="570" customWidth="1"/>
    <col min="10755" max="10755" width="15.85546875" style="570" customWidth="1"/>
    <col min="10756" max="10756" width="9.7109375" style="570" bestFit="1" customWidth="1"/>
    <col min="10757" max="10758" width="11.7109375" style="570" customWidth="1"/>
    <col min="10759" max="10759" width="11.5703125" style="570" customWidth="1"/>
    <col min="10760" max="10760" width="12.140625" style="570" customWidth="1"/>
    <col min="10761" max="10762" width="9.140625" style="570"/>
    <col min="10763" max="10763" width="4.42578125" style="570" customWidth="1"/>
    <col min="10764" max="10764" width="14.140625" style="570" customWidth="1"/>
    <col min="10765" max="11007" width="9.140625" style="570"/>
    <col min="11008" max="11008" width="5.28515625" style="570" customWidth="1"/>
    <col min="11009" max="11009" width="10.85546875" style="570" customWidth="1"/>
    <col min="11010" max="11010" width="13.42578125" style="570" customWidth="1"/>
    <col min="11011" max="11011" width="15.85546875" style="570" customWidth="1"/>
    <col min="11012" max="11012" width="9.7109375" style="570" bestFit="1" customWidth="1"/>
    <col min="11013" max="11014" width="11.7109375" style="570" customWidth="1"/>
    <col min="11015" max="11015" width="11.5703125" style="570" customWidth="1"/>
    <col min="11016" max="11016" width="12.140625" style="570" customWidth="1"/>
    <col min="11017" max="11018" width="9.140625" style="570"/>
    <col min="11019" max="11019" width="4.42578125" style="570" customWidth="1"/>
    <col min="11020" max="11020" width="14.140625" style="570" customWidth="1"/>
    <col min="11021" max="11263" width="9.140625" style="570"/>
    <col min="11264" max="11264" width="5.28515625" style="570" customWidth="1"/>
    <col min="11265" max="11265" width="10.85546875" style="570" customWidth="1"/>
    <col min="11266" max="11266" width="13.42578125" style="570" customWidth="1"/>
    <col min="11267" max="11267" width="15.85546875" style="570" customWidth="1"/>
    <col min="11268" max="11268" width="9.7109375" style="570" bestFit="1" customWidth="1"/>
    <col min="11269" max="11270" width="11.7109375" style="570" customWidth="1"/>
    <col min="11271" max="11271" width="11.5703125" style="570" customWidth="1"/>
    <col min="11272" max="11272" width="12.140625" style="570" customWidth="1"/>
    <col min="11273" max="11274" width="9.140625" style="570"/>
    <col min="11275" max="11275" width="4.42578125" style="570" customWidth="1"/>
    <col min="11276" max="11276" width="14.140625" style="570" customWidth="1"/>
    <col min="11277" max="11519" width="9.140625" style="570"/>
    <col min="11520" max="11520" width="5.28515625" style="570" customWidth="1"/>
    <col min="11521" max="11521" width="10.85546875" style="570" customWidth="1"/>
    <col min="11522" max="11522" width="13.42578125" style="570" customWidth="1"/>
    <col min="11523" max="11523" width="15.85546875" style="570" customWidth="1"/>
    <col min="11524" max="11524" width="9.7109375" style="570" bestFit="1" customWidth="1"/>
    <col min="11525" max="11526" width="11.7109375" style="570" customWidth="1"/>
    <col min="11527" max="11527" width="11.5703125" style="570" customWidth="1"/>
    <col min="11528" max="11528" width="12.140625" style="570" customWidth="1"/>
    <col min="11529" max="11530" width="9.140625" style="570"/>
    <col min="11531" max="11531" width="4.42578125" style="570" customWidth="1"/>
    <col min="11532" max="11532" width="14.140625" style="570" customWidth="1"/>
    <col min="11533" max="11775" width="9.140625" style="570"/>
    <col min="11776" max="11776" width="5.28515625" style="570" customWidth="1"/>
    <col min="11777" max="11777" width="10.85546875" style="570" customWidth="1"/>
    <col min="11778" max="11778" width="13.42578125" style="570" customWidth="1"/>
    <col min="11779" max="11779" width="15.85546875" style="570" customWidth="1"/>
    <col min="11780" max="11780" width="9.7109375" style="570" bestFit="1" customWidth="1"/>
    <col min="11781" max="11782" width="11.7109375" style="570" customWidth="1"/>
    <col min="11783" max="11783" width="11.5703125" style="570" customWidth="1"/>
    <col min="11784" max="11784" width="12.140625" style="570" customWidth="1"/>
    <col min="11785" max="11786" width="9.140625" style="570"/>
    <col min="11787" max="11787" width="4.42578125" style="570" customWidth="1"/>
    <col min="11788" max="11788" width="14.140625" style="570" customWidth="1"/>
    <col min="11789" max="12031" width="9.140625" style="570"/>
    <col min="12032" max="12032" width="5.28515625" style="570" customWidth="1"/>
    <col min="12033" max="12033" width="10.85546875" style="570" customWidth="1"/>
    <col min="12034" max="12034" width="13.42578125" style="570" customWidth="1"/>
    <col min="12035" max="12035" width="15.85546875" style="570" customWidth="1"/>
    <col min="12036" max="12036" width="9.7109375" style="570" bestFit="1" customWidth="1"/>
    <col min="12037" max="12038" width="11.7109375" style="570" customWidth="1"/>
    <col min="12039" max="12039" width="11.5703125" style="570" customWidth="1"/>
    <col min="12040" max="12040" width="12.140625" style="570" customWidth="1"/>
    <col min="12041" max="12042" width="9.140625" style="570"/>
    <col min="12043" max="12043" width="4.42578125" style="570" customWidth="1"/>
    <col min="12044" max="12044" width="14.140625" style="570" customWidth="1"/>
    <col min="12045" max="12287" width="9.140625" style="570"/>
    <col min="12288" max="12288" width="5.28515625" style="570" customWidth="1"/>
    <col min="12289" max="12289" width="10.85546875" style="570" customWidth="1"/>
    <col min="12290" max="12290" width="13.42578125" style="570" customWidth="1"/>
    <col min="12291" max="12291" width="15.85546875" style="570" customWidth="1"/>
    <col min="12292" max="12292" width="9.7109375" style="570" bestFit="1" customWidth="1"/>
    <col min="12293" max="12294" width="11.7109375" style="570" customWidth="1"/>
    <col min="12295" max="12295" width="11.5703125" style="570" customWidth="1"/>
    <col min="12296" max="12296" width="12.140625" style="570" customWidth="1"/>
    <col min="12297" max="12298" width="9.140625" style="570"/>
    <col min="12299" max="12299" width="4.42578125" style="570" customWidth="1"/>
    <col min="12300" max="12300" width="14.140625" style="570" customWidth="1"/>
    <col min="12301" max="12543" width="9.140625" style="570"/>
    <col min="12544" max="12544" width="5.28515625" style="570" customWidth="1"/>
    <col min="12545" max="12545" width="10.85546875" style="570" customWidth="1"/>
    <col min="12546" max="12546" width="13.42578125" style="570" customWidth="1"/>
    <col min="12547" max="12547" width="15.85546875" style="570" customWidth="1"/>
    <col min="12548" max="12548" width="9.7109375" style="570" bestFit="1" customWidth="1"/>
    <col min="12549" max="12550" width="11.7109375" style="570" customWidth="1"/>
    <col min="12551" max="12551" width="11.5703125" style="570" customWidth="1"/>
    <col min="12552" max="12552" width="12.140625" style="570" customWidth="1"/>
    <col min="12553" max="12554" width="9.140625" style="570"/>
    <col min="12555" max="12555" width="4.42578125" style="570" customWidth="1"/>
    <col min="12556" max="12556" width="14.140625" style="570" customWidth="1"/>
    <col min="12557" max="12799" width="9.140625" style="570"/>
    <col min="12800" max="12800" width="5.28515625" style="570" customWidth="1"/>
    <col min="12801" max="12801" width="10.85546875" style="570" customWidth="1"/>
    <col min="12802" max="12802" width="13.42578125" style="570" customWidth="1"/>
    <col min="12803" max="12803" width="15.85546875" style="570" customWidth="1"/>
    <col min="12804" max="12804" width="9.7109375" style="570" bestFit="1" customWidth="1"/>
    <col min="12805" max="12806" width="11.7109375" style="570" customWidth="1"/>
    <col min="12807" max="12807" width="11.5703125" style="570" customWidth="1"/>
    <col min="12808" max="12808" width="12.140625" style="570" customWidth="1"/>
    <col min="12809" max="12810" width="9.140625" style="570"/>
    <col min="12811" max="12811" width="4.42578125" style="570" customWidth="1"/>
    <col min="12812" max="12812" width="14.140625" style="570" customWidth="1"/>
    <col min="12813" max="13055" width="9.140625" style="570"/>
    <col min="13056" max="13056" width="5.28515625" style="570" customWidth="1"/>
    <col min="13057" max="13057" width="10.85546875" style="570" customWidth="1"/>
    <col min="13058" max="13058" width="13.42578125" style="570" customWidth="1"/>
    <col min="13059" max="13059" width="15.85546875" style="570" customWidth="1"/>
    <col min="13060" max="13060" width="9.7109375" style="570" bestFit="1" customWidth="1"/>
    <col min="13061" max="13062" width="11.7109375" style="570" customWidth="1"/>
    <col min="13063" max="13063" width="11.5703125" style="570" customWidth="1"/>
    <col min="13064" max="13064" width="12.140625" style="570" customWidth="1"/>
    <col min="13065" max="13066" width="9.140625" style="570"/>
    <col min="13067" max="13067" width="4.42578125" style="570" customWidth="1"/>
    <col min="13068" max="13068" width="14.140625" style="570" customWidth="1"/>
    <col min="13069" max="13311" width="9.140625" style="570"/>
    <col min="13312" max="13312" width="5.28515625" style="570" customWidth="1"/>
    <col min="13313" max="13313" width="10.85546875" style="570" customWidth="1"/>
    <col min="13314" max="13314" width="13.42578125" style="570" customWidth="1"/>
    <col min="13315" max="13315" width="15.85546875" style="570" customWidth="1"/>
    <col min="13316" max="13316" width="9.7109375" style="570" bestFit="1" customWidth="1"/>
    <col min="13317" max="13318" width="11.7109375" style="570" customWidth="1"/>
    <col min="13319" max="13319" width="11.5703125" style="570" customWidth="1"/>
    <col min="13320" max="13320" width="12.140625" style="570" customWidth="1"/>
    <col min="13321" max="13322" width="9.140625" style="570"/>
    <col min="13323" max="13323" width="4.42578125" style="570" customWidth="1"/>
    <col min="13324" max="13324" width="14.140625" style="570" customWidth="1"/>
    <col min="13325" max="13567" width="9.140625" style="570"/>
    <col min="13568" max="13568" width="5.28515625" style="570" customWidth="1"/>
    <col min="13569" max="13569" width="10.85546875" style="570" customWidth="1"/>
    <col min="13570" max="13570" width="13.42578125" style="570" customWidth="1"/>
    <col min="13571" max="13571" width="15.85546875" style="570" customWidth="1"/>
    <col min="13572" max="13572" width="9.7109375" style="570" bestFit="1" customWidth="1"/>
    <col min="13573" max="13574" width="11.7109375" style="570" customWidth="1"/>
    <col min="13575" max="13575" width="11.5703125" style="570" customWidth="1"/>
    <col min="13576" max="13576" width="12.140625" style="570" customWidth="1"/>
    <col min="13577" max="13578" width="9.140625" style="570"/>
    <col min="13579" max="13579" width="4.42578125" style="570" customWidth="1"/>
    <col min="13580" max="13580" width="14.140625" style="570" customWidth="1"/>
    <col min="13581" max="13823" width="9.140625" style="570"/>
    <col min="13824" max="13824" width="5.28515625" style="570" customWidth="1"/>
    <col min="13825" max="13825" width="10.85546875" style="570" customWidth="1"/>
    <col min="13826" max="13826" width="13.42578125" style="570" customWidth="1"/>
    <col min="13827" max="13827" width="15.85546875" style="570" customWidth="1"/>
    <col min="13828" max="13828" width="9.7109375" style="570" bestFit="1" customWidth="1"/>
    <col min="13829" max="13830" width="11.7109375" style="570" customWidth="1"/>
    <col min="13831" max="13831" width="11.5703125" style="570" customWidth="1"/>
    <col min="13832" max="13832" width="12.140625" style="570" customWidth="1"/>
    <col min="13833" max="13834" width="9.140625" style="570"/>
    <col min="13835" max="13835" width="4.42578125" style="570" customWidth="1"/>
    <col min="13836" max="13836" width="14.140625" style="570" customWidth="1"/>
    <col min="13837" max="14079" width="9.140625" style="570"/>
    <col min="14080" max="14080" width="5.28515625" style="570" customWidth="1"/>
    <col min="14081" max="14081" width="10.85546875" style="570" customWidth="1"/>
    <col min="14082" max="14082" width="13.42578125" style="570" customWidth="1"/>
    <col min="14083" max="14083" width="15.85546875" style="570" customWidth="1"/>
    <col min="14084" max="14084" width="9.7109375" style="570" bestFit="1" customWidth="1"/>
    <col min="14085" max="14086" width="11.7109375" style="570" customWidth="1"/>
    <col min="14087" max="14087" width="11.5703125" style="570" customWidth="1"/>
    <col min="14088" max="14088" width="12.140625" style="570" customWidth="1"/>
    <col min="14089" max="14090" width="9.140625" style="570"/>
    <col min="14091" max="14091" width="4.42578125" style="570" customWidth="1"/>
    <col min="14092" max="14092" width="14.140625" style="570" customWidth="1"/>
    <col min="14093" max="14335" width="9.140625" style="570"/>
    <col min="14336" max="14336" width="5.28515625" style="570" customWidth="1"/>
    <col min="14337" max="14337" width="10.85546875" style="570" customWidth="1"/>
    <col min="14338" max="14338" width="13.42578125" style="570" customWidth="1"/>
    <col min="14339" max="14339" width="15.85546875" style="570" customWidth="1"/>
    <col min="14340" max="14340" width="9.7109375" style="570" bestFit="1" customWidth="1"/>
    <col min="14341" max="14342" width="11.7109375" style="570" customWidth="1"/>
    <col min="14343" max="14343" width="11.5703125" style="570" customWidth="1"/>
    <col min="14344" max="14344" width="12.140625" style="570" customWidth="1"/>
    <col min="14345" max="14346" width="9.140625" style="570"/>
    <col min="14347" max="14347" width="4.42578125" style="570" customWidth="1"/>
    <col min="14348" max="14348" width="14.140625" style="570" customWidth="1"/>
    <col min="14349" max="14591" width="9.140625" style="570"/>
    <col min="14592" max="14592" width="5.28515625" style="570" customWidth="1"/>
    <col min="14593" max="14593" width="10.85546875" style="570" customWidth="1"/>
    <col min="14594" max="14594" width="13.42578125" style="570" customWidth="1"/>
    <col min="14595" max="14595" width="15.85546875" style="570" customWidth="1"/>
    <col min="14596" max="14596" width="9.7109375" style="570" bestFit="1" customWidth="1"/>
    <col min="14597" max="14598" width="11.7109375" style="570" customWidth="1"/>
    <col min="14599" max="14599" width="11.5703125" style="570" customWidth="1"/>
    <col min="14600" max="14600" width="12.140625" style="570" customWidth="1"/>
    <col min="14601" max="14602" width="9.140625" style="570"/>
    <col min="14603" max="14603" width="4.42578125" style="570" customWidth="1"/>
    <col min="14604" max="14604" width="14.140625" style="570" customWidth="1"/>
    <col min="14605" max="14847" width="9.140625" style="570"/>
    <col min="14848" max="14848" width="5.28515625" style="570" customWidth="1"/>
    <col min="14849" max="14849" width="10.85546875" style="570" customWidth="1"/>
    <col min="14850" max="14850" width="13.42578125" style="570" customWidth="1"/>
    <col min="14851" max="14851" width="15.85546875" style="570" customWidth="1"/>
    <col min="14852" max="14852" width="9.7109375" style="570" bestFit="1" customWidth="1"/>
    <col min="14853" max="14854" width="11.7109375" style="570" customWidth="1"/>
    <col min="14855" max="14855" width="11.5703125" style="570" customWidth="1"/>
    <col min="14856" max="14856" width="12.140625" style="570" customWidth="1"/>
    <col min="14857" max="14858" width="9.140625" style="570"/>
    <col min="14859" max="14859" width="4.42578125" style="570" customWidth="1"/>
    <col min="14860" max="14860" width="14.140625" style="570" customWidth="1"/>
    <col min="14861" max="15103" width="9.140625" style="570"/>
    <col min="15104" max="15104" width="5.28515625" style="570" customWidth="1"/>
    <col min="15105" max="15105" width="10.85546875" style="570" customWidth="1"/>
    <col min="15106" max="15106" width="13.42578125" style="570" customWidth="1"/>
    <col min="15107" max="15107" width="15.85546875" style="570" customWidth="1"/>
    <col min="15108" max="15108" width="9.7109375" style="570" bestFit="1" customWidth="1"/>
    <col min="15109" max="15110" width="11.7109375" style="570" customWidth="1"/>
    <col min="15111" max="15111" width="11.5703125" style="570" customWidth="1"/>
    <col min="15112" max="15112" width="12.140625" style="570" customWidth="1"/>
    <col min="15113" max="15114" width="9.140625" style="570"/>
    <col min="15115" max="15115" width="4.42578125" style="570" customWidth="1"/>
    <col min="15116" max="15116" width="14.140625" style="570" customWidth="1"/>
    <col min="15117" max="15359" width="9.140625" style="570"/>
    <col min="15360" max="15360" width="5.28515625" style="570" customWidth="1"/>
    <col min="15361" max="15361" width="10.85546875" style="570" customWidth="1"/>
    <col min="15362" max="15362" width="13.42578125" style="570" customWidth="1"/>
    <col min="15363" max="15363" width="15.85546875" style="570" customWidth="1"/>
    <col min="15364" max="15364" width="9.7109375" style="570" bestFit="1" customWidth="1"/>
    <col min="15365" max="15366" width="11.7109375" style="570" customWidth="1"/>
    <col min="15367" max="15367" width="11.5703125" style="570" customWidth="1"/>
    <col min="15368" max="15368" width="12.140625" style="570" customWidth="1"/>
    <col min="15369" max="15370" width="9.140625" style="570"/>
    <col min="15371" max="15371" width="4.42578125" style="570" customWidth="1"/>
    <col min="15372" max="15372" width="14.140625" style="570" customWidth="1"/>
    <col min="15373" max="15615" width="9.140625" style="570"/>
    <col min="15616" max="15616" width="5.28515625" style="570" customWidth="1"/>
    <col min="15617" max="15617" width="10.85546875" style="570" customWidth="1"/>
    <col min="15618" max="15618" width="13.42578125" style="570" customWidth="1"/>
    <col min="15619" max="15619" width="15.85546875" style="570" customWidth="1"/>
    <col min="15620" max="15620" width="9.7109375" style="570" bestFit="1" customWidth="1"/>
    <col min="15621" max="15622" width="11.7109375" style="570" customWidth="1"/>
    <col min="15623" max="15623" width="11.5703125" style="570" customWidth="1"/>
    <col min="15624" max="15624" width="12.140625" style="570" customWidth="1"/>
    <col min="15625" max="15626" width="9.140625" style="570"/>
    <col min="15627" max="15627" width="4.42578125" style="570" customWidth="1"/>
    <col min="15628" max="15628" width="14.140625" style="570" customWidth="1"/>
    <col min="15629" max="15871" width="9.140625" style="570"/>
    <col min="15872" max="15872" width="5.28515625" style="570" customWidth="1"/>
    <col min="15873" max="15873" width="10.85546875" style="570" customWidth="1"/>
    <col min="15874" max="15874" width="13.42578125" style="570" customWidth="1"/>
    <col min="15875" max="15875" width="15.85546875" style="570" customWidth="1"/>
    <col min="15876" max="15876" width="9.7109375" style="570" bestFit="1" customWidth="1"/>
    <col min="15877" max="15878" width="11.7109375" style="570" customWidth="1"/>
    <col min="15879" max="15879" width="11.5703125" style="570" customWidth="1"/>
    <col min="15880" max="15880" width="12.140625" style="570" customWidth="1"/>
    <col min="15881" max="15882" width="9.140625" style="570"/>
    <col min="15883" max="15883" width="4.42578125" style="570" customWidth="1"/>
    <col min="15884" max="15884" width="14.140625" style="570" customWidth="1"/>
    <col min="15885" max="16127" width="9.140625" style="570"/>
    <col min="16128" max="16128" width="5.28515625" style="570" customWidth="1"/>
    <col min="16129" max="16129" width="10.85546875" style="570" customWidth="1"/>
    <col min="16130" max="16130" width="13.42578125" style="570" customWidth="1"/>
    <col min="16131" max="16131" width="15.85546875" style="570" customWidth="1"/>
    <col min="16132" max="16132" width="9.7109375" style="570" bestFit="1" customWidth="1"/>
    <col min="16133" max="16134" width="11.7109375" style="570" customWidth="1"/>
    <col min="16135" max="16135" width="11.5703125" style="570" customWidth="1"/>
    <col min="16136" max="16136" width="12.140625" style="570" customWidth="1"/>
    <col min="16137" max="16138" width="9.140625" style="570"/>
    <col min="16139" max="16139" width="4.42578125" style="570" customWidth="1"/>
    <col min="16140" max="16140" width="14.140625" style="570" customWidth="1"/>
    <col min="16141" max="16384" width="9.140625" style="570"/>
  </cols>
  <sheetData>
    <row r="1" spans="1:19" s="572" customFormat="1" ht="20.100000000000001" customHeight="1">
      <c r="A1" s="1660" t="s">
        <v>752</v>
      </c>
      <c r="B1" s="1661"/>
      <c r="C1" s="1661"/>
      <c r="D1" s="1661"/>
      <c r="E1" s="1661"/>
      <c r="F1" s="1661"/>
      <c r="G1" s="1661"/>
      <c r="H1" s="1661"/>
      <c r="I1" s="1661"/>
      <c r="J1" s="1661"/>
      <c r="K1" s="1661"/>
      <c r="L1" s="1662"/>
    </row>
    <row r="2" spans="1:19" s="572" customFormat="1" ht="20.100000000000001" customHeight="1">
      <c r="A2" s="1663"/>
      <c r="B2" s="1663"/>
      <c r="C2" s="1663"/>
      <c r="D2" s="1663"/>
      <c r="E2" s="1663"/>
      <c r="F2" s="1663"/>
      <c r="G2" s="1663"/>
      <c r="H2" s="1663"/>
      <c r="I2" s="1663"/>
      <c r="J2" s="1663"/>
      <c r="K2" s="1663"/>
      <c r="L2" s="1663"/>
    </row>
    <row r="3" spans="1:19" s="572" customFormat="1" ht="20.100000000000001" customHeight="1">
      <c r="A3" s="551"/>
      <c r="B3" s="552" t="s">
        <v>644</v>
      </c>
      <c r="C3" s="552"/>
      <c r="D3" s="552"/>
      <c r="E3" s="552"/>
      <c r="F3" s="552"/>
      <c r="G3" s="552"/>
      <c r="H3" s="552"/>
      <c r="I3" s="552"/>
      <c r="J3" s="552"/>
      <c r="K3" s="552"/>
      <c r="L3" s="552"/>
    </row>
    <row r="4" spans="1:19" s="572" customFormat="1" ht="20.100000000000001" customHeight="1">
      <c r="A4" s="551"/>
      <c r="B4" s="552" t="s">
        <v>645</v>
      </c>
      <c r="C4" s="552"/>
      <c r="D4" s="552">
        <v>800</v>
      </c>
      <c r="E4" s="552" t="s">
        <v>646</v>
      </c>
      <c r="F4" s="552"/>
      <c r="G4" s="552"/>
      <c r="H4" s="552"/>
      <c r="I4" s="552"/>
      <c r="J4" s="552"/>
      <c r="K4" s="552"/>
      <c r="L4" s="552"/>
    </row>
    <row r="5" spans="1:19" s="572" customFormat="1" ht="20.100000000000001" customHeight="1">
      <c r="A5" s="551"/>
      <c r="B5" s="552" t="s">
        <v>647</v>
      </c>
      <c r="C5" s="552"/>
      <c r="D5" s="552">
        <v>95</v>
      </c>
      <c r="E5" s="552" t="s">
        <v>646</v>
      </c>
      <c r="F5" s="552"/>
      <c r="G5" s="552"/>
      <c r="H5" s="552"/>
      <c r="I5" s="552"/>
      <c r="J5" s="552"/>
      <c r="K5" s="552"/>
      <c r="L5" s="552"/>
    </row>
    <row r="6" spans="1:19" s="572" customFormat="1" ht="20.100000000000001" customHeight="1">
      <c r="A6" s="551"/>
      <c r="B6" s="552"/>
      <c r="C6" s="552"/>
      <c r="D6" s="552"/>
      <c r="E6" s="552"/>
      <c r="F6" s="552"/>
      <c r="G6" s="552"/>
      <c r="H6" s="552"/>
      <c r="I6" s="552"/>
      <c r="J6" s="552"/>
      <c r="K6" s="552"/>
      <c r="L6" s="552"/>
    </row>
    <row r="7" spans="1:19" s="572" customFormat="1" ht="20.100000000000001" customHeight="1">
      <c r="A7" s="551" t="s">
        <v>648</v>
      </c>
      <c r="B7" s="552" t="s">
        <v>649</v>
      </c>
      <c r="C7" s="552"/>
      <c r="D7" s="552">
        <f>D4</f>
        <v>800</v>
      </c>
      <c r="E7" s="552" t="s">
        <v>650</v>
      </c>
      <c r="F7" s="552"/>
      <c r="G7" s="552"/>
      <c r="H7" s="553"/>
      <c r="I7" s="552"/>
      <c r="J7" s="552"/>
      <c r="K7" s="552" t="s">
        <v>651</v>
      </c>
      <c r="L7" s="554">
        <v>5519</v>
      </c>
      <c r="N7" s="573"/>
      <c r="O7" s="573"/>
      <c r="P7" s="573"/>
      <c r="Q7" s="573"/>
      <c r="R7" s="573"/>
    </row>
    <row r="8" spans="1:19" s="572" customFormat="1" ht="20.100000000000001" customHeight="1">
      <c r="A8" s="551"/>
      <c r="B8" s="1664" t="s">
        <v>652</v>
      </c>
      <c r="C8" s="1664"/>
      <c r="D8" s="1664"/>
      <c r="E8" s="1664"/>
      <c r="F8" s="1664"/>
      <c r="G8" s="1664"/>
      <c r="H8" s="552"/>
      <c r="I8" s="552"/>
      <c r="J8" s="552"/>
      <c r="K8" s="552"/>
      <c r="L8" s="552"/>
    </row>
    <row r="9" spans="1:19" s="572" customFormat="1" ht="20.100000000000001" customHeight="1">
      <c r="A9" s="551"/>
      <c r="B9" s="552"/>
      <c r="C9" s="552"/>
      <c r="D9" s="552"/>
      <c r="E9" s="552"/>
      <c r="F9" s="552"/>
      <c r="G9" s="552"/>
      <c r="H9" s="552"/>
      <c r="I9" s="552"/>
      <c r="J9" s="552"/>
      <c r="K9" s="552"/>
      <c r="L9" s="552"/>
    </row>
    <row r="10" spans="1:19" s="572" customFormat="1" ht="20.100000000000001" customHeight="1">
      <c r="A10" s="551"/>
      <c r="B10" s="552"/>
      <c r="C10" s="552"/>
      <c r="D10" s="552"/>
      <c r="E10" s="552"/>
      <c r="F10" s="552"/>
      <c r="G10" s="552"/>
      <c r="H10" s="552"/>
      <c r="I10" s="552"/>
      <c r="J10" s="552"/>
      <c r="K10" s="552"/>
      <c r="L10" s="552"/>
    </row>
    <row r="11" spans="1:19" s="572" customFormat="1" ht="20.100000000000001" customHeight="1">
      <c r="A11" s="551" t="s">
        <v>653</v>
      </c>
      <c r="B11" s="555" t="s">
        <v>654</v>
      </c>
      <c r="C11" s="555"/>
      <c r="D11" s="555"/>
      <c r="E11" s="555"/>
      <c r="F11" s="555"/>
      <c r="G11" s="555"/>
      <c r="H11" s="552"/>
      <c r="I11" s="552"/>
      <c r="J11" s="552"/>
      <c r="K11" s="552"/>
      <c r="L11" s="552"/>
      <c r="N11" s="1667"/>
      <c r="O11" s="1667"/>
      <c r="P11" s="1667"/>
      <c r="Q11" s="1667"/>
      <c r="R11" s="1667"/>
      <c r="S11" s="1667"/>
    </row>
    <row r="12" spans="1:19" s="572" customFormat="1" ht="20.100000000000001" customHeight="1">
      <c r="A12" s="551"/>
      <c r="B12" s="555" t="s">
        <v>655</v>
      </c>
      <c r="C12" s="555">
        <v>13.04</v>
      </c>
      <c r="D12" s="555" t="s">
        <v>656</v>
      </c>
      <c r="E12" s="555"/>
      <c r="F12" s="1668" t="s">
        <v>657</v>
      </c>
      <c r="G12" s="1668"/>
      <c r="H12" s="552">
        <f>SUM(C12:C13)</f>
        <v>15.7</v>
      </c>
      <c r="I12" s="552" t="s">
        <v>658</v>
      </c>
      <c r="J12" s="552"/>
      <c r="K12" s="552"/>
      <c r="L12" s="552"/>
      <c r="N12" s="574"/>
      <c r="O12" s="574"/>
      <c r="P12" s="574"/>
      <c r="Q12" s="574"/>
      <c r="R12" s="574"/>
      <c r="S12" s="574"/>
    </row>
    <row r="13" spans="1:19" s="572" customFormat="1" ht="20.100000000000001" customHeight="1">
      <c r="A13" s="551"/>
      <c r="B13" s="555" t="s">
        <v>660</v>
      </c>
      <c r="C13" s="555">
        <v>2.66</v>
      </c>
      <c r="D13" s="555" t="s">
        <v>656</v>
      </c>
      <c r="E13" s="555"/>
      <c r="F13" s="555"/>
      <c r="G13" s="555"/>
      <c r="H13" s="552"/>
      <c r="I13" s="552"/>
      <c r="J13" s="552"/>
      <c r="K13" s="552"/>
      <c r="L13" s="552"/>
      <c r="N13" s="574"/>
      <c r="O13" s="574"/>
      <c r="P13" s="574"/>
      <c r="Q13" s="574"/>
      <c r="R13" s="574"/>
      <c r="S13" s="574"/>
    </row>
    <row r="14" spans="1:19" s="572" customFormat="1" ht="20.100000000000001" customHeight="1">
      <c r="A14" s="551"/>
      <c r="B14" s="556"/>
      <c r="C14" s="556"/>
      <c r="D14" s="556"/>
      <c r="E14" s="552"/>
      <c r="F14" s="552"/>
      <c r="G14" s="552"/>
      <c r="H14" s="552"/>
      <c r="I14" s="552"/>
      <c r="J14" s="552"/>
      <c r="K14" s="552"/>
      <c r="L14" s="552"/>
    </row>
    <row r="15" spans="1:19" s="572" customFormat="1" ht="20.100000000000001" customHeight="1">
      <c r="A15" s="551"/>
      <c r="B15" s="555" t="s">
        <v>661</v>
      </c>
      <c r="C15" s="557"/>
      <c r="D15" s="558"/>
      <c r="E15" s="558">
        <v>37000</v>
      </c>
      <c r="F15" s="554"/>
      <c r="G15" s="552" t="s">
        <v>662</v>
      </c>
      <c r="H15" s="552"/>
      <c r="I15" s="554"/>
      <c r="J15" s="552"/>
      <c r="K15" s="552"/>
      <c r="L15" s="552"/>
    </row>
    <row r="16" spans="1:19" s="572" customFormat="1" ht="20.100000000000001" customHeight="1">
      <c r="A16" s="551"/>
      <c r="B16" s="555" t="s">
        <v>663</v>
      </c>
      <c r="C16" s="557"/>
      <c r="D16" s="558"/>
      <c r="E16" s="558">
        <v>47000</v>
      </c>
      <c r="F16" s="554"/>
      <c r="G16" s="552" t="s">
        <v>664</v>
      </c>
      <c r="H16" s="552"/>
      <c r="I16" s="554"/>
      <c r="J16" s="552"/>
      <c r="K16" s="552"/>
      <c r="L16" s="552"/>
    </row>
    <row r="17" spans="1:14" s="572" customFormat="1" ht="18.75">
      <c r="A17" s="551"/>
      <c r="B17" s="552"/>
      <c r="C17" s="552" t="s">
        <v>665</v>
      </c>
      <c r="D17" s="557" t="s">
        <v>651</v>
      </c>
      <c r="E17" s="552"/>
      <c r="F17" s="559">
        <f>E15-E16</f>
        <v>-10000</v>
      </c>
      <c r="G17" s="1666">
        <f>-H12</f>
        <v>-15.7</v>
      </c>
      <c r="H17" s="560"/>
      <c r="I17" s="555"/>
      <c r="J17" s="552"/>
      <c r="K17" s="552" t="s">
        <v>651</v>
      </c>
      <c r="L17" s="561">
        <f>(E15-E16)/1000*H12</f>
        <v>-157</v>
      </c>
    </row>
    <row r="18" spans="1:14" s="572" customFormat="1" ht="18.75">
      <c r="A18" s="551"/>
      <c r="B18" s="552"/>
      <c r="C18" s="552"/>
      <c r="D18" s="552"/>
      <c r="E18" s="552"/>
      <c r="F18" s="562">
        <v>1000</v>
      </c>
      <c r="G18" s="1666"/>
      <c r="H18" s="546"/>
      <c r="I18" s="555"/>
      <c r="J18" s="552"/>
      <c r="K18" s="552"/>
      <c r="L18" s="552"/>
    </row>
    <row r="19" spans="1:14" s="572" customFormat="1" ht="18.75">
      <c r="A19" s="551"/>
      <c r="B19" s="552"/>
      <c r="C19" s="552"/>
      <c r="D19" s="552"/>
      <c r="E19" s="552"/>
      <c r="F19" s="552"/>
      <c r="G19" s="552"/>
      <c r="H19" s="552"/>
      <c r="I19" s="552"/>
      <c r="J19" s="552"/>
      <c r="K19" s="552"/>
      <c r="L19" s="552"/>
    </row>
    <row r="20" spans="1:14" s="572" customFormat="1" ht="18.75">
      <c r="A20" s="551"/>
      <c r="B20" s="1664"/>
      <c r="C20" s="1664"/>
      <c r="D20" s="1664"/>
      <c r="E20" s="1664"/>
      <c r="F20" s="1664"/>
      <c r="G20" s="1664"/>
      <c r="H20" s="1664"/>
      <c r="I20" s="552"/>
      <c r="J20" s="552"/>
      <c r="K20" s="552" t="s">
        <v>651</v>
      </c>
      <c r="L20" s="563">
        <f>L7+L17</f>
        <v>5362</v>
      </c>
    </row>
    <row r="21" spans="1:14" s="572" customFormat="1" ht="18.75">
      <c r="A21" s="551"/>
      <c r="B21" s="552"/>
      <c r="C21" s="552"/>
      <c r="D21" s="552"/>
      <c r="E21" s="552"/>
      <c r="F21" s="552"/>
      <c r="G21" s="552"/>
      <c r="H21" s="552"/>
      <c r="I21" s="552"/>
      <c r="J21" s="552"/>
      <c r="K21" s="552"/>
      <c r="L21" s="552"/>
    </row>
    <row r="22" spans="1:14" s="572" customFormat="1" ht="18.75">
      <c r="A22" s="551" t="s">
        <v>666</v>
      </c>
      <c r="B22" s="1664" t="s">
        <v>667</v>
      </c>
      <c r="C22" s="1664"/>
      <c r="D22" s="1664"/>
      <c r="E22" s="1664"/>
      <c r="F22" s="1664"/>
      <c r="G22" s="1664"/>
      <c r="H22" s="1664"/>
      <c r="I22" s="552"/>
      <c r="J22" s="552"/>
      <c r="K22" s="552"/>
      <c r="L22" s="563"/>
    </row>
    <row r="23" spans="1:14" s="572" customFormat="1" ht="18.75">
      <c r="A23" s="551"/>
      <c r="B23" s="552" t="s">
        <v>668</v>
      </c>
      <c r="C23" s="552"/>
      <c r="D23" s="555" t="s">
        <v>669</v>
      </c>
      <c r="E23" s="555">
        <f>(D4+D5/2)/1000</f>
        <v>0.84750000000000003</v>
      </c>
      <c r="F23" s="546" t="s">
        <v>163</v>
      </c>
      <c r="G23" s="555">
        <f>D5/1000</f>
        <v>9.5000000000000001E-2</v>
      </c>
      <c r="H23" s="555" t="s">
        <v>670</v>
      </c>
      <c r="I23" s="556"/>
      <c r="J23" s="564">
        <f>(22/7)*((D4+(D5/2))*D5*2.65)/1000000</f>
        <v>0.67055410714285713</v>
      </c>
      <c r="K23" s="555" t="s">
        <v>109</v>
      </c>
      <c r="L23" s="563"/>
    </row>
    <row r="24" spans="1:14" s="572" customFormat="1" ht="18.75">
      <c r="A24" s="551"/>
      <c r="B24" s="552" t="s">
        <v>671</v>
      </c>
      <c r="C24" s="552"/>
      <c r="D24" s="552"/>
      <c r="E24" s="552"/>
      <c r="F24" s="552"/>
      <c r="G24" s="555"/>
      <c r="H24" s="555"/>
      <c r="I24" s="552"/>
      <c r="J24" s="552"/>
      <c r="K24" s="552"/>
      <c r="L24" s="563"/>
    </row>
    <row r="25" spans="1:14" s="572" customFormat="1" ht="18.75">
      <c r="A25" s="551"/>
      <c r="B25" s="552">
        <f>J23</f>
        <v>0.67055410714285713</v>
      </c>
      <c r="C25" s="565" t="s">
        <v>672</v>
      </c>
      <c r="D25" s="565">
        <f>B25*7.2</f>
        <v>4.8279895714285717</v>
      </c>
      <c r="E25" s="552" t="s">
        <v>673</v>
      </c>
      <c r="F25" s="552"/>
      <c r="G25" s="558">
        <f>D25/2.5</f>
        <v>1.9311958285714286</v>
      </c>
      <c r="H25" s="552" t="s">
        <v>674</v>
      </c>
      <c r="I25" s="556"/>
      <c r="J25" s="556"/>
      <c r="K25" s="556"/>
      <c r="L25" s="556"/>
      <c r="N25" s="575"/>
    </row>
    <row r="26" spans="1:14" s="572" customFormat="1" ht="18.75">
      <c r="A26" s="551"/>
      <c r="B26" s="555" t="s">
        <v>675</v>
      </c>
      <c r="C26" s="554"/>
      <c r="D26" s="566"/>
      <c r="E26" s="566"/>
      <c r="F26" s="557" t="s">
        <v>676</v>
      </c>
      <c r="G26" s="558">
        <f>G25*50</f>
        <v>96.55979142857143</v>
      </c>
      <c r="H26" s="552" t="s">
        <v>658</v>
      </c>
      <c r="I26" s="552"/>
      <c r="J26" s="552"/>
      <c r="K26" s="552"/>
      <c r="L26" s="563"/>
    </row>
    <row r="27" spans="1:14" s="572" customFormat="1" ht="18.75">
      <c r="A27" s="551"/>
      <c r="B27" s="552"/>
      <c r="C27" s="552"/>
      <c r="D27" s="552"/>
      <c r="E27" s="552"/>
      <c r="F27" s="557"/>
      <c r="G27" s="339"/>
      <c r="H27" s="556"/>
      <c r="I27" s="552"/>
      <c r="J27" s="552"/>
      <c r="K27" s="552"/>
      <c r="L27" s="563"/>
    </row>
    <row r="28" spans="1:14" s="572" customFormat="1" ht="18.75">
      <c r="A28" s="551"/>
      <c r="B28" s="1664" t="s">
        <v>677</v>
      </c>
      <c r="C28" s="1664"/>
      <c r="D28" s="1664"/>
      <c r="E28" s="1664"/>
      <c r="F28" s="1664"/>
      <c r="G28" s="1664"/>
      <c r="H28" s="552"/>
      <c r="I28" s="552"/>
      <c r="J28" s="552"/>
      <c r="K28" s="552"/>
      <c r="L28" s="563"/>
    </row>
    <row r="29" spans="1:14" s="572" customFormat="1" ht="18.75">
      <c r="A29" s="551"/>
      <c r="B29" s="567" t="s">
        <v>678</v>
      </c>
      <c r="C29" s="567"/>
      <c r="D29" s="567"/>
      <c r="E29" s="562">
        <v>4300</v>
      </c>
      <c r="F29" s="567" t="s">
        <v>679</v>
      </c>
      <c r="G29" s="567"/>
      <c r="H29" s="552"/>
      <c r="I29" s="552"/>
      <c r="J29" s="552"/>
      <c r="K29" s="552"/>
      <c r="L29" s="563"/>
    </row>
    <row r="30" spans="1:14" s="572" customFormat="1" ht="18.75">
      <c r="A30" s="551"/>
      <c r="B30" s="567" t="s">
        <v>680</v>
      </c>
      <c r="C30" s="567"/>
      <c r="D30" s="567"/>
      <c r="E30" s="562">
        <v>5300</v>
      </c>
      <c r="F30" s="567" t="s">
        <v>679</v>
      </c>
      <c r="G30" s="567"/>
      <c r="H30" s="552"/>
      <c r="I30" s="552"/>
      <c r="J30" s="552"/>
      <c r="K30" s="552"/>
      <c r="L30" s="563"/>
    </row>
    <row r="31" spans="1:14" s="572" customFormat="1" ht="18.75">
      <c r="A31" s="551"/>
      <c r="B31" s="555"/>
      <c r="C31" s="555"/>
      <c r="D31" s="557"/>
      <c r="E31" s="557"/>
      <c r="F31" s="567"/>
      <c r="G31" s="339">
        <f>E29-E30</f>
        <v>-1000</v>
      </c>
      <c r="H31" s="1665">
        <f>G26</f>
        <v>96.55979142857143</v>
      </c>
      <c r="I31" s="546"/>
      <c r="J31" s="568"/>
      <c r="K31" s="552" t="s">
        <v>651</v>
      </c>
      <c r="L31" s="554">
        <f>G31/1000*H31</f>
        <v>-96.55979142857143</v>
      </c>
    </row>
    <row r="32" spans="1:14" s="572" customFormat="1" ht="18.75">
      <c r="A32" s="551"/>
      <c r="B32" s="552"/>
      <c r="C32" s="552"/>
      <c r="D32" s="552"/>
      <c r="E32" s="552"/>
      <c r="F32" s="552"/>
      <c r="G32" s="546">
        <v>1000</v>
      </c>
      <c r="H32" s="1666"/>
      <c r="I32" s="546"/>
      <c r="J32" s="552"/>
      <c r="K32" s="552"/>
      <c r="L32" s="552"/>
    </row>
    <row r="33" spans="1:15" s="572" customFormat="1" ht="18.75">
      <c r="A33" s="551"/>
      <c r="B33" s="552"/>
      <c r="C33" s="552"/>
      <c r="D33" s="552"/>
      <c r="E33" s="552"/>
      <c r="F33" s="552"/>
      <c r="G33" s="552"/>
      <c r="H33" s="552"/>
      <c r="I33" s="552"/>
      <c r="J33" s="552"/>
      <c r="K33" s="552"/>
      <c r="L33" s="552"/>
    </row>
    <row r="34" spans="1:15" s="572" customFormat="1" ht="18.75">
      <c r="A34" s="551"/>
      <c r="B34" s="552"/>
      <c r="C34" s="552"/>
      <c r="D34" s="552"/>
      <c r="E34" s="552"/>
      <c r="F34" s="552"/>
      <c r="G34" s="552"/>
      <c r="H34" s="552"/>
      <c r="I34" s="546"/>
      <c r="J34" s="552"/>
      <c r="K34" s="552"/>
      <c r="L34" s="554"/>
    </row>
    <row r="35" spans="1:15" s="572" customFormat="1" ht="18.75">
      <c r="A35" s="551" t="s">
        <v>681</v>
      </c>
      <c r="B35" s="556" t="s">
        <v>682</v>
      </c>
      <c r="C35" s="552"/>
      <c r="D35" s="552">
        <f>D4</f>
        <v>800</v>
      </c>
      <c r="E35" s="552" t="s">
        <v>683</v>
      </c>
      <c r="F35" s="552"/>
      <c r="G35" s="552"/>
      <c r="H35" s="552"/>
      <c r="I35" s="552"/>
      <c r="J35" s="552"/>
      <c r="K35" s="552"/>
      <c r="L35" s="563">
        <f>L31+L20</f>
        <v>5265.4402085714282</v>
      </c>
      <c r="O35" s="576"/>
    </row>
    <row r="36" spans="1:15" s="572" customFormat="1" ht="18.75">
      <c r="A36" s="551" t="s">
        <v>684</v>
      </c>
      <c r="B36" s="552" t="s">
        <v>755</v>
      </c>
      <c r="C36" s="552"/>
      <c r="D36" s="552"/>
      <c r="E36" s="552"/>
      <c r="F36" s="552"/>
      <c r="G36" s="552"/>
      <c r="H36" s="552"/>
      <c r="I36" s="552"/>
      <c r="J36" s="552"/>
      <c r="K36" s="552"/>
      <c r="L36" s="554">
        <f>201.16+15*11.95</f>
        <v>380.40999999999997</v>
      </c>
      <c r="N36" s="572" t="s">
        <v>685</v>
      </c>
    </row>
    <row r="37" spans="1:15" s="572" customFormat="1" ht="18.75">
      <c r="A37" s="551"/>
      <c r="B37" s="552"/>
      <c r="C37" s="552"/>
      <c r="D37" s="552"/>
      <c r="E37" s="552"/>
      <c r="F37" s="552"/>
      <c r="G37" s="552"/>
      <c r="H37" s="552"/>
      <c r="I37" s="552"/>
      <c r="J37" s="1591" t="s">
        <v>686</v>
      </c>
      <c r="K37" s="1591"/>
      <c r="L37" s="563">
        <f>SUM(L35:L36)</f>
        <v>5645.8502085714281</v>
      </c>
    </row>
    <row r="38" spans="1:15" s="572" customFormat="1" ht="18.75">
      <c r="A38" s="551" t="s">
        <v>687</v>
      </c>
      <c r="B38" s="569">
        <v>0.13614999999999999</v>
      </c>
      <c r="C38" s="552" t="s">
        <v>688</v>
      </c>
      <c r="D38" s="552"/>
      <c r="E38" s="552"/>
      <c r="F38" s="552"/>
      <c r="G38" s="552"/>
      <c r="H38" s="552"/>
      <c r="I38" s="552"/>
      <c r="J38" s="552"/>
      <c r="K38" s="552"/>
      <c r="L38" s="554">
        <f>L37*13.615%</f>
        <v>768.68250589699994</v>
      </c>
    </row>
    <row r="39" spans="1:15" s="572" customFormat="1" ht="18.75">
      <c r="A39" s="551" t="s">
        <v>689</v>
      </c>
      <c r="B39" s="552" t="s">
        <v>756</v>
      </c>
      <c r="C39" s="552"/>
      <c r="D39" s="552"/>
      <c r="E39" s="552"/>
      <c r="F39" s="552"/>
      <c r="G39" s="552"/>
      <c r="H39" s="552"/>
      <c r="I39" s="552"/>
      <c r="J39" s="552"/>
      <c r="K39" s="552"/>
      <c r="L39" s="554">
        <v>468</v>
      </c>
    </row>
    <row r="40" spans="1:15" s="572" customFormat="1" ht="18.75">
      <c r="A40" s="551"/>
      <c r="B40" s="552"/>
      <c r="C40" s="552"/>
      <c r="D40" s="552"/>
      <c r="E40" s="552"/>
      <c r="F40" s="552"/>
      <c r="G40" s="552"/>
      <c r="H40" s="552"/>
      <c r="I40" s="552"/>
      <c r="J40" s="552"/>
      <c r="K40" s="552" t="s">
        <v>651</v>
      </c>
      <c r="L40" s="563">
        <f>SUM(L37:L39)</f>
        <v>6882.5327144684279</v>
      </c>
    </row>
    <row r="41" spans="1:15" s="572" customFormat="1" ht="18.75">
      <c r="A41" s="551"/>
      <c r="B41" s="552"/>
      <c r="C41" s="552"/>
      <c r="D41" s="552"/>
      <c r="E41" s="552"/>
      <c r="F41" s="552"/>
      <c r="G41" s="552"/>
      <c r="H41" s="552"/>
      <c r="I41" s="552"/>
      <c r="J41" s="553" t="s">
        <v>691</v>
      </c>
      <c r="K41" s="553" t="s">
        <v>692</v>
      </c>
      <c r="L41" s="563">
        <f>CEILING(L40,0.05)</f>
        <v>6882.55</v>
      </c>
    </row>
    <row r="42" spans="1:15" s="572" customFormat="1" ht="18.75">
      <c r="A42" s="551"/>
      <c r="B42" s="552"/>
      <c r="C42" s="552"/>
      <c r="D42" s="552"/>
      <c r="E42" s="552"/>
      <c r="F42" s="552"/>
      <c r="G42" s="552"/>
      <c r="H42" s="552"/>
      <c r="I42" s="552"/>
      <c r="J42" s="552"/>
      <c r="K42" s="552"/>
      <c r="L42" s="553" t="s">
        <v>693</v>
      </c>
    </row>
    <row r="43" spans="1:15">
      <c r="B43" s="571"/>
      <c r="C43" s="571"/>
      <c r="D43" s="571"/>
      <c r="E43" s="571"/>
      <c r="F43" s="571"/>
      <c r="G43" s="571"/>
      <c r="H43" s="571"/>
      <c r="I43" s="571"/>
      <c r="J43" s="571"/>
      <c r="K43" s="571"/>
      <c r="L43" s="571"/>
    </row>
  </sheetData>
  <mergeCells count="11">
    <mergeCell ref="J37:K37"/>
    <mergeCell ref="B28:G28"/>
    <mergeCell ref="H31:H32"/>
    <mergeCell ref="N11:S11"/>
    <mergeCell ref="F12:G12"/>
    <mergeCell ref="G17:G18"/>
    <mergeCell ref="A1:L1"/>
    <mergeCell ref="A2:L2"/>
    <mergeCell ref="B8:G8"/>
    <mergeCell ref="B20:H20"/>
    <mergeCell ref="B22:H22"/>
  </mergeCells>
  <printOptions gridLines="1"/>
  <pageMargins left="0.70866141732283472" right="0.70866141732283472" top="0.74803149606299213" bottom="0.74803149606299213" header="0.31496062992125984" footer="0.31496062992125984"/>
  <pageSetup paperSize="9" scale="61" orientation="portrait" horizontalDpi="300" verticalDpi="300" r:id="rId1"/>
</worksheet>
</file>

<file path=xl/worksheets/sheet32.xml><?xml version="1.0" encoding="utf-8"?>
<worksheet xmlns="http://schemas.openxmlformats.org/spreadsheetml/2006/main" xmlns:r="http://schemas.openxmlformats.org/officeDocument/2006/relationships">
  <dimension ref="A1:S42"/>
  <sheetViews>
    <sheetView view="pageBreakPreview" zoomScaleSheetLayoutView="100" workbookViewId="0">
      <selection activeCell="B22" sqref="B22:H22"/>
    </sheetView>
  </sheetViews>
  <sheetFormatPr defaultRowHeight="12.75"/>
  <cols>
    <col min="1" max="1" width="5.28515625" style="570" customWidth="1"/>
    <col min="2" max="2" width="10.85546875" style="570" customWidth="1"/>
    <col min="3" max="3" width="18.85546875" style="570" customWidth="1"/>
    <col min="4" max="4" width="15.85546875" style="570" customWidth="1"/>
    <col min="5" max="5" width="11" style="570" bestFit="1" customWidth="1"/>
    <col min="6" max="7" width="11.7109375" style="570" customWidth="1"/>
    <col min="8" max="8" width="11.5703125" style="570" customWidth="1"/>
    <col min="9" max="9" width="12.140625" style="570" customWidth="1"/>
    <col min="10" max="10" width="9.140625" style="570"/>
    <col min="11" max="11" width="4.42578125" style="570" customWidth="1"/>
    <col min="12" max="12" width="14.140625" style="570" customWidth="1"/>
    <col min="13" max="255" width="9.140625" style="570"/>
    <col min="256" max="256" width="5.28515625" style="570" customWidth="1"/>
    <col min="257" max="257" width="10.85546875" style="570" customWidth="1"/>
    <col min="258" max="258" width="13.42578125" style="570" customWidth="1"/>
    <col min="259" max="259" width="15.85546875" style="570" customWidth="1"/>
    <col min="260" max="260" width="9.7109375" style="570" bestFit="1" customWidth="1"/>
    <col min="261" max="262" width="11.7109375" style="570" customWidth="1"/>
    <col min="263" max="263" width="11.5703125" style="570" customWidth="1"/>
    <col min="264" max="264" width="12.140625" style="570" customWidth="1"/>
    <col min="265" max="266" width="9.140625" style="570"/>
    <col min="267" max="267" width="4.42578125" style="570" customWidth="1"/>
    <col min="268" max="268" width="14.140625" style="570" customWidth="1"/>
    <col min="269" max="511" width="9.140625" style="570"/>
    <col min="512" max="512" width="5.28515625" style="570" customWidth="1"/>
    <col min="513" max="513" width="10.85546875" style="570" customWidth="1"/>
    <col min="514" max="514" width="13.42578125" style="570" customWidth="1"/>
    <col min="515" max="515" width="15.85546875" style="570" customWidth="1"/>
    <col min="516" max="516" width="9.7109375" style="570" bestFit="1" customWidth="1"/>
    <col min="517" max="518" width="11.7109375" style="570" customWidth="1"/>
    <col min="519" max="519" width="11.5703125" style="570" customWidth="1"/>
    <col min="520" max="520" width="12.140625" style="570" customWidth="1"/>
    <col min="521" max="522" width="9.140625" style="570"/>
    <col min="523" max="523" width="4.42578125" style="570" customWidth="1"/>
    <col min="524" max="524" width="14.140625" style="570" customWidth="1"/>
    <col min="525" max="767" width="9.140625" style="570"/>
    <col min="768" max="768" width="5.28515625" style="570" customWidth="1"/>
    <col min="769" max="769" width="10.85546875" style="570" customWidth="1"/>
    <col min="770" max="770" width="13.42578125" style="570" customWidth="1"/>
    <col min="771" max="771" width="15.85546875" style="570" customWidth="1"/>
    <col min="772" max="772" width="9.7109375" style="570" bestFit="1" customWidth="1"/>
    <col min="773" max="774" width="11.7109375" style="570" customWidth="1"/>
    <col min="775" max="775" width="11.5703125" style="570" customWidth="1"/>
    <col min="776" max="776" width="12.140625" style="570" customWidth="1"/>
    <col min="777" max="778" width="9.140625" style="570"/>
    <col min="779" max="779" width="4.42578125" style="570" customWidth="1"/>
    <col min="780" max="780" width="14.140625" style="570" customWidth="1"/>
    <col min="781" max="1023" width="9.140625" style="570"/>
    <col min="1024" max="1024" width="5.28515625" style="570" customWidth="1"/>
    <col min="1025" max="1025" width="10.85546875" style="570" customWidth="1"/>
    <col min="1026" max="1026" width="13.42578125" style="570" customWidth="1"/>
    <col min="1027" max="1027" width="15.85546875" style="570" customWidth="1"/>
    <col min="1028" max="1028" width="9.7109375" style="570" bestFit="1" customWidth="1"/>
    <col min="1029" max="1030" width="11.7109375" style="570" customWidth="1"/>
    <col min="1031" max="1031" width="11.5703125" style="570" customWidth="1"/>
    <col min="1032" max="1032" width="12.140625" style="570" customWidth="1"/>
    <col min="1033" max="1034" width="9.140625" style="570"/>
    <col min="1035" max="1035" width="4.42578125" style="570" customWidth="1"/>
    <col min="1036" max="1036" width="14.140625" style="570" customWidth="1"/>
    <col min="1037" max="1279" width="9.140625" style="570"/>
    <col min="1280" max="1280" width="5.28515625" style="570" customWidth="1"/>
    <col min="1281" max="1281" width="10.85546875" style="570" customWidth="1"/>
    <col min="1282" max="1282" width="13.42578125" style="570" customWidth="1"/>
    <col min="1283" max="1283" width="15.85546875" style="570" customWidth="1"/>
    <col min="1284" max="1284" width="9.7109375" style="570" bestFit="1" customWidth="1"/>
    <col min="1285" max="1286" width="11.7109375" style="570" customWidth="1"/>
    <col min="1287" max="1287" width="11.5703125" style="570" customWidth="1"/>
    <col min="1288" max="1288" width="12.140625" style="570" customWidth="1"/>
    <col min="1289" max="1290" width="9.140625" style="570"/>
    <col min="1291" max="1291" width="4.42578125" style="570" customWidth="1"/>
    <col min="1292" max="1292" width="14.140625" style="570" customWidth="1"/>
    <col min="1293" max="1535" width="9.140625" style="570"/>
    <col min="1536" max="1536" width="5.28515625" style="570" customWidth="1"/>
    <col min="1537" max="1537" width="10.85546875" style="570" customWidth="1"/>
    <col min="1538" max="1538" width="13.42578125" style="570" customWidth="1"/>
    <col min="1539" max="1539" width="15.85546875" style="570" customWidth="1"/>
    <col min="1540" max="1540" width="9.7109375" style="570" bestFit="1" customWidth="1"/>
    <col min="1541" max="1542" width="11.7109375" style="570" customWidth="1"/>
    <col min="1543" max="1543" width="11.5703125" style="570" customWidth="1"/>
    <col min="1544" max="1544" width="12.140625" style="570" customWidth="1"/>
    <col min="1545" max="1546" width="9.140625" style="570"/>
    <col min="1547" max="1547" width="4.42578125" style="570" customWidth="1"/>
    <col min="1548" max="1548" width="14.140625" style="570" customWidth="1"/>
    <col min="1549" max="1791" width="9.140625" style="570"/>
    <col min="1792" max="1792" width="5.28515625" style="570" customWidth="1"/>
    <col min="1793" max="1793" width="10.85546875" style="570" customWidth="1"/>
    <col min="1794" max="1794" width="13.42578125" style="570" customWidth="1"/>
    <col min="1795" max="1795" width="15.85546875" style="570" customWidth="1"/>
    <col min="1796" max="1796" width="9.7109375" style="570" bestFit="1" customWidth="1"/>
    <col min="1797" max="1798" width="11.7109375" style="570" customWidth="1"/>
    <col min="1799" max="1799" width="11.5703125" style="570" customWidth="1"/>
    <col min="1800" max="1800" width="12.140625" style="570" customWidth="1"/>
    <col min="1801" max="1802" width="9.140625" style="570"/>
    <col min="1803" max="1803" width="4.42578125" style="570" customWidth="1"/>
    <col min="1804" max="1804" width="14.140625" style="570" customWidth="1"/>
    <col min="1805" max="2047" width="9.140625" style="570"/>
    <col min="2048" max="2048" width="5.28515625" style="570" customWidth="1"/>
    <col min="2049" max="2049" width="10.85546875" style="570" customWidth="1"/>
    <col min="2050" max="2050" width="13.42578125" style="570" customWidth="1"/>
    <col min="2051" max="2051" width="15.85546875" style="570" customWidth="1"/>
    <col min="2052" max="2052" width="9.7109375" style="570" bestFit="1" customWidth="1"/>
    <col min="2053" max="2054" width="11.7109375" style="570" customWidth="1"/>
    <col min="2055" max="2055" width="11.5703125" style="570" customWidth="1"/>
    <col min="2056" max="2056" width="12.140625" style="570" customWidth="1"/>
    <col min="2057" max="2058" width="9.140625" style="570"/>
    <col min="2059" max="2059" width="4.42578125" style="570" customWidth="1"/>
    <col min="2060" max="2060" width="14.140625" style="570" customWidth="1"/>
    <col min="2061" max="2303" width="9.140625" style="570"/>
    <col min="2304" max="2304" width="5.28515625" style="570" customWidth="1"/>
    <col min="2305" max="2305" width="10.85546875" style="570" customWidth="1"/>
    <col min="2306" max="2306" width="13.42578125" style="570" customWidth="1"/>
    <col min="2307" max="2307" width="15.85546875" style="570" customWidth="1"/>
    <col min="2308" max="2308" width="9.7109375" style="570" bestFit="1" customWidth="1"/>
    <col min="2309" max="2310" width="11.7109375" style="570" customWidth="1"/>
    <col min="2311" max="2311" width="11.5703125" style="570" customWidth="1"/>
    <col min="2312" max="2312" width="12.140625" style="570" customWidth="1"/>
    <col min="2313" max="2314" width="9.140625" style="570"/>
    <col min="2315" max="2315" width="4.42578125" style="570" customWidth="1"/>
    <col min="2316" max="2316" width="14.140625" style="570" customWidth="1"/>
    <col min="2317" max="2559" width="9.140625" style="570"/>
    <col min="2560" max="2560" width="5.28515625" style="570" customWidth="1"/>
    <col min="2561" max="2561" width="10.85546875" style="570" customWidth="1"/>
    <col min="2562" max="2562" width="13.42578125" style="570" customWidth="1"/>
    <col min="2563" max="2563" width="15.85546875" style="570" customWidth="1"/>
    <col min="2564" max="2564" width="9.7109375" style="570" bestFit="1" customWidth="1"/>
    <col min="2565" max="2566" width="11.7109375" style="570" customWidth="1"/>
    <col min="2567" max="2567" width="11.5703125" style="570" customWidth="1"/>
    <col min="2568" max="2568" width="12.140625" style="570" customWidth="1"/>
    <col min="2569" max="2570" width="9.140625" style="570"/>
    <col min="2571" max="2571" width="4.42578125" style="570" customWidth="1"/>
    <col min="2572" max="2572" width="14.140625" style="570" customWidth="1"/>
    <col min="2573" max="2815" width="9.140625" style="570"/>
    <col min="2816" max="2816" width="5.28515625" style="570" customWidth="1"/>
    <col min="2817" max="2817" width="10.85546875" style="570" customWidth="1"/>
    <col min="2818" max="2818" width="13.42578125" style="570" customWidth="1"/>
    <col min="2819" max="2819" width="15.85546875" style="570" customWidth="1"/>
    <col min="2820" max="2820" width="9.7109375" style="570" bestFit="1" customWidth="1"/>
    <col min="2821" max="2822" width="11.7109375" style="570" customWidth="1"/>
    <col min="2823" max="2823" width="11.5703125" style="570" customWidth="1"/>
    <col min="2824" max="2824" width="12.140625" style="570" customWidth="1"/>
    <col min="2825" max="2826" width="9.140625" style="570"/>
    <col min="2827" max="2827" width="4.42578125" style="570" customWidth="1"/>
    <col min="2828" max="2828" width="14.140625" style="570" customWidth="1"/>
    <col min="2829" max="3071" width="9.140625" style="570"/>
    <col min="3072" max="3072" width="5.28515625" style="570" customWidth="1"/>
    <col min="3073" max="3073" width="10.85546875" style="570" customWidth="1"/>
    <col min="3074" max="3074" width="13.42578125" style="570" customWidth="1"/>
    <col min="3075" max="3075" width="15.85546875" style="570" customWidth="1"/>
    <col min="3076" max="3076" width="9.7109375" style="570" bestFit="1" customWidth="1"/>
    <col min="3077" max="3078" width="11.7109375" style="570" customWidth="1"/>
    <col min="3079" max="3079" width="11.5703125" style="570" customWidth="1"/>
    <col min="3080" max="3080" width="12.140625" style="570" customWidth="1"/>
    <col min="3081" max="3082" width="9.140625" style="570"/>
    <col min="3083" max="3083" width="4.42578125" style="570" customWidth="1"/>
    <col min="3084" max="3084" width="14.140625" style="570" customWidth="1"/>
    <col min="3085" max="3327" width="9.140625" style="570"/>
    <col min="3328" max="3328" width="5.28515625" style="570" customWidth="1"/>
    <col min="3329" max="3329" width="10.85546875" style="570" customWidth="1"/>
    <col min="3330" max="3330" width="13.42578125" style="570" customWidth="1"/>
    <col min="3331" max="3331" width="15.85546875" style="570" customWidth="1"/>
    <col min="3332" max="3332" width="9.7109375" style="570" bestFit="1" customWidth="1"/>
    <col min="3333" max="3334" width="11.7109375" style="570" customWidth="1"/>
    <col min="3335" max="3335" width="11.5703125" style="570" customWidth="1"/>
    <col min="3336" max="3336" width="12.140625" style="570" customWidth="1"/>
    <col min="3337" max="3338" width="9.140625" style="570"/>
    <col min="3339" max="3339" width="4.42578125" style="570" customWidth="1"/>
    <col min="3340" max="3340" width="14.140625" style="570" customWidth="1"/>
    <col min="3341" max="3583" width="9.140625" style="570"/>
    <col min="3584" max="3584" width="5.28515625" style="570" customWidth="1"/>
    <col min="3585" max="3585" width="10.85546875" style="570" customWidth="1"/>
    <col min="3586" max="3586" width="13.42578125" style="570" customWidth="1"/>
    <col min="3587" max="3587" width="15.85546875" style="570" customWidth="1"/>
    <col min="3588" max="3588" width="9.7109375" style="570" bestFit="1" customWidth="1"/>
    <col min="3589" max="3590" width="11.7109375" style="570" customWidth="1"/>
    <col min="3591" max="3591" width="11.5703125" style="570" customWidth="1"/>
    <col min="3592" max="3592" width="12.140625" style="570" customWidth="1"/>
    <col min="3593" max="3594" width="9.140625" style="570"/>
    <col min="3595" max="3595" width="4.42578125" style="570" customWidth="1"/>
    <col min="3596" max="3596" width="14.140625" style="570" customWidth="1"/>
    <col min="3597" max="3839" width="9.140625" style="570"/>
    <col min="3840" max="3840" width="5.28515625" style="570" customWidth="1"/>
    <col min="3841" max="3841" width="10.85546875" style="570" customWidth="1"/>
    <col min="3842" max="3842" width="13.42578125" style="570" customWidth="1"/>
    <col min="3843" max="3843" width="15.85546875" style="570" customWidth="1"/>
    <col min="3844" max="3844" width="9.7109375" style="570" bestFit="1" customWidth="1"/>
    <col min="3845" max="3846" width="11.7109375" style="570" customWidth="1"/>
    <col min="3847" max="3847" width="11.5703125" style="570" customWidth="1"/>
    <col min="3848" max="3848" width="12.140625" style="570" customWidth="1"/>
    <col min="3849" max="3850" width="9.140625" style="570"/>
    <col min="3851" max="3851" width="4.42578125" style="570" customWidth="1"/>
    <col min="3852" max="3852" width="14.140625" style="570" customWidth="1"/>
    <col min="3853" max="4095" width="9.140625" style="570"/>
    <col min="4096" max="4096" width="5.28515625" style="570" customWidth="1"/>
    <col min="4097" max="4097" width="10.85546875" style="570" customWidth="1"/>
    <col min="4098" max="4098" width="13.42578125" style="570" customWidth="1"/>
    <col min="4099" max="4099" width="15.85546875" style="570" customWidth="1"/>
    <col min="4100" max="4100" width="9.7109375" style="570" bestFit="1" customWidth="1"/>
    <col min="4101" max="4102" width="11.7109375" style="570" customWidth="1"/>
    <col min="4103" max="4103" width="11.5703125" style="570" customWidth="1"/>
    <col min="4104" max="4104" width="12.140625" style="570" customWidth="1"/>
    <col min="4105" max="4106" width="9.140625" style="570"/>
    <col min="4107" max="4107" width="4.42578125" style="570" customWidth="1"/>
    <col min="4108" max="4108" width="14.140625" style="570" customWidth="1"/>
    <col min="4109" max="4351" width="9.140625" style="570"/>
    <col min="4352" max="4352" width="5.28515625" style="570" customWidth="1"/>
    <col min="4353" max="4353" width="10.85546875" style="570" customWidth="1"/>
    <col min="4354" max="4354" width="13.42578125" style="570" customWidth="1"/>
    <col min="4355" max="4355" width="15.85546875" style="570" customWidth="1"/>
    <col min="4356" max="4356" width="9.7109375" style="570" bestFit="1" customWidth="1"/>
    <col min="4357" max="4358" width="11.7109375" style="570" customWidth="1"/>
    <col min="4359" max="4359" width="11.5703125" style="570" customWidth="1"/>
    <col min="4360" max="4360" width="12.140625" style="570" customWidth="1"/>
    <col min="4361" max="4362" width="9.140625" style="570"/>
    <col min="4363" max="4363" width="4.42578125" style="570" customWidth="1"/>
    <col min="4364" max="4364" width="14.140625" style="570" customWidth="1"/>
    <col min="4365" max="4607" width="9.140625" style="570"/>
    <col min="4608" max="4608" width="5.28515625" style="570" customWidth="1"/>
    <col min="4609" max="4609" width="10.85546875" style="570" customWidth="1"/>
    <col min="4610" max="4610" width="13.42578125" style="570" customWidth="1"/>
    <col min="4611" max="4611" width="15.85546875" style="570" customWidth="1"/>
    <col min="4612" max="4612" width="9.7109375" style="570" bestFit="1" customWidth="1"/>
    <col min="4613" max="4614" width="11.7109375" style="570" customWidth="1"/>
    <col min="4615" max="4615" width="11.5703125" style="570" customWidth="1"/>
    <col min="4616" max="4616" width="12.140625" style="570" customWidth="1"/>
    <col min="4617" max="4618" width="9.140625" style="570"/>
    <col min="4619" max="4619" width="4.42578125" style="570" customWidth="1"/>
    <col min="4620" max="4620" width="14.140625" style="570" customWidth="1"/>
    <col min="4621" max="4863" width="9.140625" style="570"/>
    <col min="4864" max="4864" width="5.28515625" style="570" customWidth="1"/>
    <col min="4865" max="4865" width="10.85546875" style="570" customWidth="1"/>
    <col min="4866" max="4866" width="13.42578125" style="570" customWidth="1"/>
    <col min="4867" max="4867" width="15.85546875" style="570" customWidth="1"/>
    <col min="4868" max="4868" width="9.7109375" style="570" bestFit="1" customWidth="1"/>
    <col min="4869" max="4870" width="11.7109375" style="570" customWidth="1"/>
    <col min="4871" max="4871" width="11.5703125" style="570" customWidth="1"/>
    <col min="4872" max="4872" width="12.140625" style="570" customWidth="1"/>
    <col min="4873" max="4874" width="9.140625" style="570"/>
    <col min="4875" max="4875" width="4.42578125" style="570" customWidth="1"/>
    <col min="4876" max="4876" width="14.140625" style="570" customWidth="1"/>
    <col min="4877" max="5119" width="9.140625" style="570"/>
    <col min="5120" max="5120" width="5.28515625" style="570" customWidth="1"/>
    <col min="5121" max="5121" width="10.85546875" style="570" customWidth="1"/>
    <col min="5122" max="5122" width="13.42578125" style="570" customWidth="1"/>
    <col min="5123" max="5123" width="15.85546875" style="570" customWidth="1"/>
    <col min="5124" max="5124" width="9.7109375" style="570" bestFit="1" customWidth="1"/>
    <col min="5125" max="5126" width="11.7109375" style="570" customWidth="1"/>
    <col min="5127" max="5127" width="11.5703125" style="570" customWidth="1"/>
    <col min="5128" max="5128" width="12.140625" style="570" customWidth="1"/>
    <col min="5129" max="5130" width="9.140625" style="570"/>
    <col min="5131" max="5131" width="4.42578125" style="570" customWidth="1"/>
    <col min="5132" max="5132" width="14.140625" style="570" customWidth="1"/>
    <col min="5133" max="5375" width="9.140625" style="570"/>
    <col min="5376" max="5376" width="5.28515625" style="570" customWidth="1"/>
    <col min="5377" max="5377" width="10.85546875" style="570" customWidth="1"/>
    <col min="5378" max="5378" width="13.42578125" style="570" customWidth="1"/>
    <col min="5379" max="5379" width="15.85546875" style="570" customWidth="1"/>
    <col min="5380" max="5380" width="9.7109375" style="570" bestFit="1" customWidth="1"/>
    <col min="5381" max="5382" width="11.7109375" style="570" customWidth="1"/>
    <col min="5383" max="5383" width="11.5703125" style="570" customWidth="1"/>
    <col min="5384" max="5384" width="12.140625" style="570" customWidth="1"/>
    <col min="5385" max="5386" width="9.140625" style="570"/>
    <col min="5387" max="5387" width="4.42578125" style="570" customWidth="1"/>
    <col min="5388" max="5388" width="14.140625" style="570" customWidth="1"/>
    <col min="5389" max="5631" width="9.140625" style="570"/>
    <col min="5632" max="5632" width="5.28515625" style="570" customWidth="1"/>
    <col min="5633" max="5633" width="10.85546875" style="570" customWidth="1"/>
    <col min="5634" max="5634" width="13.42578125" style="570" customWidth="1"/>
    <col min="5635" max="5635" width="15.85546875" style="570" customWidth="1"/>
    <col min="5636" max="5636" width="9.7109375" style="570" bestFit="1" customWidth="1"/>
    <col min="5637" max="5638" width="11.7109375" style="570" customWidth="1"/>
    <col min="5639" max="5639" width="11.5703125" style="570" customWidth="1"/>
    <col min="5640" max="5640" width="12.140625" style="570" customWidth="1"/>
    <col min="5641" max="5642" width="9.140625" style="570"/>
    <col min="5643" max="5643" width="4.42578125" style="570" customWidth="1"/>
    <col min="5644" max="5644" width="14.140625" style="570" customWidth="1"/>
    <col min="5645" max="5887" width="9.140625" style="570"/>
    <col min="5888" max="5888" width="5.28515625" style="570" customWidth="1"/>
    <col min="5889" max="5889" width="10.85546875" style="570" customWidth="1"/>
    <col min="5890" max="5890" width="13.42578125" style="570" customWidth="1"/>
    <col min="5891" max="5891" width="15.85546875" style="570" customWidth="1"/>
    <col min="5892" max="5892" width="9.7109375" style="570" bestFit="1" customWidth="1"/>
    <col min="5893" max="5894" width="11.7109375" style="570" customWidth="1"/>
    <col min="5895" max="5895" width="11.5703125" style="570" customWidth="1"/>
    <col min="5896" max="5896" width="12.140625" style="570" customWidth="1"/>
    <col min="5897" max="5898" width="9.140625" style="570"/>
    <col min="5899" max="5899" width="4.42578125" style="570" customWidth="1"/>
    <col min="5900" max="5900" width="14.140625" style="570" customWidth="1"/>
    <col min="5901" max="6143" width="9.140625" style="570"/>
    <col min="6144" max="6144" width="5.28515625" style="570" customWidth="1"/>
    <col min="6145" max="6145" width="10.85546875" style="570" customWidth="1"/>
    <col min="6146" max="6146" width="13.42578125" style="570" customWidth="1"/>
    <col min="6147" max="6147" width="15.85546875" style="570" customWidth="1"/>
    <col min="6148" max="6148" width="9.7109375" style="570" bestFit="1" customWidth="1"/>
    <col min="6149" max="6150" width="11.7109375" style="570" customWidth="1"/>
    <col min="6151" max="6151" width="11.5703125" style="570" customWidth="1"/>
    <col min="6152" max="6152" width="12.140625" style="570" customWidth="1"/>
    <col min="6153" max="6154" width="9.140625" style="570"/>
    <col min="6155" max="6155" width="4.42578125" style="570" customWidth="1"/>
    <col min="6156" max="6156" width="14.140625" style="570" customWidth="1"/>
    <col min="6157" max="6399" width="9.140625" style="570"/>
    <col min="6400" max="6400" width="5.28515625" style="570" customWidth="1"/>
    <col min="6401" max="6401" width="10.85546875" style="570" customWidth="1"/>
    <col min="6402" max="6402" width="13.42578125" style="570" customWidth="1"/>
    <col min="6403" max="6403" width="15.85546875" style="570" customWidth="1"/>
    <col min="6404" max="6404" width="9.7109375" style="570" bestFit="1" customWidth="1"/>
    <col min="6405" max="6406" width="11.7109375" style="570" customWidth="1"/>
    <col min="6407" max="6407" width="11.5703125" style="570" customWidth="1"/>
    <col min="6408" max="6408" width="12.140625" style="570" customWidth="1"/>
    <col min="6409" max="6410" width="9.140625" style="570"/>
    <col min="6411" max="6411" width="4.42578125" style="570" customWidth="1"/>
    <col min="6412" max="6412" width="14.140625" style="570" customWidth="1"/>
    <col min="6413" max="6655" width="9.140625" style="570"/>
    <col min="6656" max="6656" width="5.28515625" style="570" customWidth="1"/>
    <col min="6657" max="6657" width="10.85546875" style="570" customWidth="1"/>
    <col min="6658" max="6658" width="13.42578125" style="570" customWidth="1"/>
    <col min="6659" max="6659" width="15.85546875" style="570" customWidth="1"/>
    <col min="6660" max="6660" width="9.7109375" style="570" bestFit="1" customWidth="1"/>
    <col min="6661" max="6662" width="11.7109375" style="570" customWidth="1"/>
    <col min="6663" max="6663" width="11.5703125" style="570" customWidth="1"/>
    <col min="6664" max="6664" width="12.140625" style="570" customWidth="1"/>
    <col min="6665" max="6666" width="9.140625" style="570"/>
    <col min="6667" max="6667" width="4.42578125" style="570" customWidth="1"/>
    <col min="6668" max="6668" width="14.140625" style="570" customWidth="1"/>
    <col min="6669" max="6911" width="9.140625" style="570"/>
    <col min="6912" max="6912" width="5.28515625" style="570" customWidth="1"/>
    <col min="6913" max="6913" width="10.85546875" style="570" customWidth="1"/>
    <col min="6914" max="6914" width="13.42578125" style="570" customWidth="1"/>
    <col min="6915" max="6915" width="15.85546875" style="570" customWidth="1"/>
    <col min="6916" max="6916" width="9.7109375" style="570" bestFit="1" customWidth="1"/>
    <col min="6917" max="6918" width="11.7109375" style="570" customWidth="1"/>
    <col min="6919" max="6919" width="11.5703125" style="570" customWidth="1"/>
    <col min="6920" max="6920" width="12.140625" style="570" customWidth="1"/>
    <col min="6921" max="6922" width="9.140625" style="570"/>
    <col min="6923" max="6923" width="4.42578125" style="570" customWidth="1"/>
    <col min="6924" max="6924" width="14.140625" style="570" customWidth="1"/>
    <col min="6925" max="7167" width="9.140625" style="570"/>
    <col min="7168" max="7168" width="5.28515625" style="570" customWidth="1"/>
    <col min="7169" max="7169" width="10.85546875" style="570" customWidth="1"/>
    <col min="7170" max="7170" width="13.42578125" style="570" customWidth="1"/>
    <col min="7171" max="7171" width="15.85546875" style="570" customWidth="1"/>
    <col min="7172" max="7172" width="9.7109375" style="570" bestFit="1" customWidth="1"/>
    <col min="7173" max="7174" width="11.7109375" style="570" customWidth="1"/>
    <col min="7175" max="7175" width="11.5703125" style="570" customWidth="1"/>
    <col min="7176" max="7176" width="12.140625" style="570" customWidth="1"/>
    <col min="7177" max="7178" width="9.140625" style="570"/>
    <col min="7179" max="7179" width="4.42578125" style="570" customWidth="1"/>
    <col min="7180" max="7180" width="14.140625" style="570" customWidth="1"/>
    <col min="7181" max="7423" width="9.140625" style="570"/>
    <col min="7424" max="7424" width="5.28515625" style="570" customWidth="1"/>
    <col min="7425" max="7425" width="10.85546875" style="570" customWidth="1"/>
    <col min="7426" max="7426" width="13.42578125" style="570" customWidth="1"/>
    <col min="7427" max="7427" width="15.85546875" style="570" customWidth="1"/>
    <col min="7428" max="7428" width="9.7109375" style="570" bestFit="1" customWidth="1"/>
    <col min="7429" max="7430" width="11.7109375" style="570" customWidth="1"/>
    <col min="7431" max="7431" width="11.5703125" style="570" customWidth="1"/>
    <col min="7432" max="7432" width="12.140625" style="570" customWidth="1"/>
    <col min="7433" max="7434" width="9.140625" style="570"/>
    <col min="7435" max="7435" width="4.42578125" style="570" customWidth="1"/>
    <col min="7436" max="7436" width="14.140625" style="570" customWidth="1"/>
    <col min="7437" max="7679" width="9.140625" style="570"/>
    <col min="7680" max="7680" width="5.28515625" style="570" customWidth="1"/>
    <col min="7681" max="7681" width="10.85546875" style="570" customWidth="1"/>
    <col min="7682" max="7682" width="13.42578125" style="570" customWidth="1"/>
    <col min="7683" max="7683" width="15.85546875" style="570" customWidth="1"/>
    <col min="7684" max="7684" width="9.7109375" style="570" bestFit="1" customWidth="1"/>
    <col min="7685" max="7686" width="11.7109375" style="570" customWidth="1"/>
    <col min="7687" max="7687" width="11.5703125" style="570" customWidth="1"/>
    <col min="7688" max="7688" width="12.140625" style="570" customWidth="1"/>
    <col min="7689" max="7690" width="9.140625" style="570"/>
    <col min="7691" max="7691" width="4.42578125" style="570" customWidth="1"/>
    <col min="7692" max="7692" width="14.140625" style="570" customWidth="1"/>
    <col min="7693" max="7935" width="9.140625" style="570"/>
    <col min="7936" max="7936" width="5.28515625" style="570" customWidth="1"/>
    <col min="7937" max="7937" width="10.85546875" style="570" customWidth="1"/>
    <col min="7938" max="7938" width="13.42578125" style="570" customWidth="1"/>
    <col min="7939" max="7939" width="15.85546875" style="570" customWidth="1"/>
    <col min="7940" max="7940" width="9.7109375" style="570" bestFit="1" customWidth="1"/>
    <col min="7941" max="7942" width="11.7109375" style="570" customWidth="1"/>
    <col min="7943" max="7943" width="11.5703125" style="570" customWidth="1"/>
    <col min="7944" max="7944" width="12.140625" style="570" customWidth="1"/>
    <col min="7945" max="7946" width="9.140625" style="570"/>
    <col min="7947" max="7947" width="4.42578125" style="570" customWidth="1"/>
    <col min="7948" max="7948" width="14.140625" style="570" customWidth="1"/>
    <col min="7949" max="8191" width="9.140625" style="570"/>
    <col min="8192" max="8192" width="5.28515625" style="570" customWidth="1"/>
    <col min="8193" max="8193" width="10.85546875" style="570" customWidth="1"/>
    <col min="8194" max="8194" width="13.42578125" style="570" customWidth="1"/>
    <col min="8195" max="8195" width="15.85546875" style="570" customWidth="1"/>
    <col min="8196" max="8196" width="9.7109375" style="570" bestFit="1" customWidth="1"/>
    <col min="8197" max="8198" width="11.7109375" style="570" customWidth="1"/>
    <col min="8199" max="8199" width="11.5703125" style="570" customWidth="1"/>
    <col min="8200" max="8200" width="12.140625" style="570" customWidth="1"/>
    <col min="8201" max="8202" width="9.140625" style="570"/>
    <col min="8203" max="8203" width="4.42578125" style="570" customWidth="1"/>
    <col min="8204" max="8204" width="14.140625" style="570" customWidth="1"/>
    <col min="8205" max="8447" width="9.140625" style="570"/>
    <col min="8448" max="8448" width="5.28515625" style="570" customWidth="1"/>
    <col min="8449" max="8449" width="10.85546875" style="570" customWidth="1"/>
    <col min="8450" max="8450" width="13.42578125" style="570" customWidth="1"/>
    <col min="8451" max="8451" width="15.85546875" style="570" customWidth="1"/>
    <col min="8452" max="8452" width="9.7109375" style="570" bestFit="1" customWidth="1"/>
    <col min="8453" max="8454" width="11.7109375" style="570" customWidth="1"/>
    <col min="8455" max="8455" width="11.5703125" style="570" customWidth="1"/>
    <col min="8456" max="8456" width="12.140625" style="570" customWidth="1"/>
    <col min="8457" max="8458" width="9.140625" style="570"/>
    <col min="8459" max="8459" width="4.42578125" style="570" customWidth="1"/>
    <col min="8460" max="8460" width="14.140625" style="570" customWidth="1"/>
    <col min="8461" max="8703" width="9.140625" style="570"/>
    <col min="8704" max="8704" width="5.28515625" style="570" customWidth="1"/>
    <col min="8705" max="8705" width="10.85546875" style="570" customWidth="1"/>
    <col min="8706" max="8706" width="13.42578125" style="570" customWidth="1"/>
    <col min="8707" max="8707" width="15.85546875" style="570" customWidth="1"/>
    <col min="8708" max="8708" width="9.7109375" style="570" bestFit="1" customWidth="1"/>
    <col min="8709" max="8710" width="11.7109375" style="570" customWidth="1"/>
    <col min="8711" max="8711" width="11.5703125" style="570" customWidth="1"/>
    <col min="8712" max="8712" width="12.140625" style="570" customWidth="1"/>
    <col min="8713" max="8714" width="9.140625" style="570"/>
    <col min="8715" max="8715" width="4.42578125" style="570" customWidth="1"/>
    <col min="8716" max="8716" width="14.140625" style="570" customWidth="1"/>
    <col min="8717" max="8959" width="9.140625" style="570"/>
    <col min="8960" max="8960" width="5.28515625" style="570" customWidth="1"/>
    <col min="8961" max="8961" width="10.85546875" style="570" customWidth="1"/>
    <col min="8962" max="8962" width="13.42578125" style="570" customWidth="1"/>
    <col min="8963" max="8963" width="15.85546875" style="570" customWidth="1"/>
    <col min="8964" max="8964" width="9.7109375" style="570" bestFit="1" customWidth="1"/>
    <col min="8965" max="8966" width="11.7109375" style="570" customWidth="1"/>
    <col min="8967" max="8967" width="11.5703125" style="570" customWidth="1"/>
    <col min="8968" max="8968" width="12.140625" style="570" customWidth="1"/>
    <col min="8969" max="8970" width="9.140625" style="570"/>
    <col min="8971" max="8971" width="4.42578125" style="570" customWidth="1"/>
    <col min="8972" max="8972" width="14.140625" style="570" customWidth="1"/>
    <col min="8973" max="9215" width="9.140625" style="570"/>
    <col min="9216" max="9216" width="5.28515625" style="570" customWidth="1"/>
    <col min="9217" max="9217" width="10.85546875" style="570" customWidth="1"/>
    <col min="9218" max="9218" width="13.42578125" style="570" customWidth="1"/>
    <col min="9219" max="9219" width="15.85546875" style="570" customWidth="1"/>
    <col min="9220" max="9220" width="9.7109375" style="570" bestFit="1" customWidth="1"/>
    <col min="9221" max="9222" width="11.7109375" style="570" customWidth="1"/>
    <col min="9223" max="9223" width="11.5703125" style="570" customWidth="1"/>
    <col min="9224" max="9224" width="12.140625" style="570" customWidth="1"/>
    <col min="9225" max="9226" width="9.140625" style="570"/>
    <col min="9227" max="9227" width="4.42578125" style="570" customWidth="1"/>
    <col min="9228" max="9228" width="14.140625" style="570" customWidth="1"/>
    <col min="9229" max="9471" width="9.140625" style="570"/>
    <col min="9472" max="9472" width="5.28515625" style="570" customWidth="1"/>
    <col min="9473" max="9473" width="10.85546875" style="570" customWidth="1"/>
    <col min="9474" max="9474" width="13.42578125" style="570" customWidth="1"/>
    <col min="9475" max="9475" width="15.85546875" style="570" customWidth="1"/>
    <col min="9476" max="9476" width="9.7109375" style="570" bestFit="1" customWidth="1"/>
    <col min="9477" max="9478" width="11.7109375" style="570" customWidth="1"/>
    <col min="9479" max="9479" width="11.5703125" style="570" customWidth="1"/>
    <col min="9480" max="9480" width="12.140625" style="570" customWidth="1"/>
    <col min="9481" max="9482" width="9.140625" style="570"/>
    <col min="9483" max="9483" width="4.42578125" style="570" customWidth="1"/>
    <col min="9484" max="9484" width="14.140625" style="570" customWidth="1"/>
    <col min="9485" max="9727" width="9.140625" style="570"/>
    <col min="9728" max="9728" width="5.28515625" style="570" customWidth="1"/>
    <col min="9729" max="9729" width="10.85546875" style="570" customWidth="1"/>
    <col min="9730" max="9730" width="13.42578125" style="570" customWidth="1"/>
    <col min="9731" max="9731" width="15.85546875" style="570" customWidth="1"/>
    <col min="9732" max="9732" width="9.7109375" style="570" bestFit="1" customWidth="1"/>
    <col min="9733" max="9734" width="11.7109375" style="570" customWidth="1"/>
    <col min="9735" max="9735" width="11.5703125" style="570" customWidth="1"/>
    <col min="9736" max="9736" width="12.140625" style="570" customWidth="1"/>
    <col min="9737" max="9738" width="9.140625" style="570"/>
    <col min="9739" max="9739" width="4.42578125" style="570" customWidth="1"/>
    <col min="9740" max="9740" width="14.140625" style="570" customWidth="1"/>
    <col min="9741" max="9983" width="9.140625" style="570"/>
    <col min="9984" max="9984" width="5.28515625" style="570" customWidth="1"/>
    <col min="9985" max="9985" width="10.85546875" style="570" customWidth="1"/>
    <col min="9986" max="9986" width="13.42578125" style="570" customWidth="1"/>
    <col min="9987" max="9987" width="15.85546875" style="570" customWidth="1"/>
    <col min="9988" max="9988" width="9.7109375" style="570" bestFit="1" customWidth="1"/>
    <col min="9989" max="9990" width="11.7109375" style="570" customWidth="1"/>
    <col min="9991" max="9991" width="11.5703125" style="570" customWidth="1"/>
    <col min="9992" max="9992" width="12.140625" style="570" customWidth="1"/>
    <col min="9993" max="9994" width="9.140625" style="570"/>
    <col min="9995" max="9995" width="4.42578125" style="570" customWidth="1"/>
    <col min="9996" max="9996" width="14.140625" style="570" customWidth="1"/>
    <col min="9997" max="10239" width="9.140625" style="570"/>
    <col min="10240" max="10240" width="5.28515625" style="570" customWidth="1"/>
    <col min="10241" max="10241" width="10.85546875" style="570" customWidth="1"/>
    <col min="10242" max="10242" width="13.42578125" style="570" customWidth="1"/>
    <col min="10243" max="10243" width="15.85546875" style="570" customWidth="1"/>
    <col min="10244" max="10244" width="9.7109375" style="570" bestFit="1" customWidth="1"/>
    <col min="10245" max="10246" width="11.7109375" style="570" customWidth="1"/>
    <col min="10247" max="10247" width="11.5703125" style="570" customWidth="1"/>
    <col min="10248" max="10248" width="12.140625" style="570" customWidth="1"/>
    <col min="10249" max="10250" width="9.140625" style="570"/>
    <col min="10251" max="10251" width="4.42578125" style="570" customWidth="1"/>
    <col min="10252" max="10252" width="14.140625" style="570" customWidth="1"/>
    <col min="10253" max="10495" width="9.140625" style="570"/>
    <col min="10496" max="10496" width="5.28515625" style="570" customWidth="1"/>
    <col min="10497" max="10497" width="10.85546875" style="570" customWidth="1"/>
    <col min="10498" max="10498" width="13.42578125" style="570" customWidth="1"/>
    <col min="10499" max="10499" width="15.85546875" style="570" customWidth="1"/>
    <col min="10500" max="10500" width="9.7109375" style="570" bestFit="1" customWidth="1"/>
    <col min="10501" max="10502" width="11.7109375" style="570" customWidth="1"/>
    <col min="10503" max="10503" width="11.5703125" style="570" customWidth="1"/>
    <col min="10504" max="10504" width="12.140625" style="570" customWidth="1"/>
    <col min="10505" max="10506" width="9.140625" style="570"/>
    <col min="10507" max="10507" width="4.42578125" style="570" customWidth="1"/>
    <col min="10508" max="10508" width="14.140625" style="570" customWidth="1"/>
    <col min="10509" max="10751" width="9.140625" style="570"/>
    <col min="10752" max="10752" width="5.28515625" style="570" customWidth="1"/>
    <col min="10753" max="10753" width="10.85546875" style="570" customWidth="1"/>
    <col min="10754" max="10754" width="13.42578125" style="570" customWidth="1"/>
    <col min="10755" max="10755" width="15.85546875" style="570" customWidth="1"/>
    <col min="10756" max="10756" width="9.7109375" style="570" bestFit="1" customWidth="1"/>
    <col min="10757" max="10758" width="11.7109375" style="570" customWidth="1"/>
    <col min="10759" max="10759" width="11.5703125" style="570" customWidth="1"/>
    <col min="10760" max="10760" width="12.140625" style="570" customWidth="1"/>
    <col min="10761" max="10762" width="9.140625" style="570"/>
    <col min="10763" max="10763" width="4.42578125" style="570" customWidth="1"/>
    <col min="10764" max="10764" width="14.140625" style="570" customWidth="1"/>
    <col min="10765" max="11007" width="9.140625" style="570"/>
    <col min="11008" max="11008" width="5.28515625" style="570" customWidth="1"/>
    <col min="11009" max="11009" width="10.85546875" style="570" customWidth="1"/>
    <col min="11010" max="11010" width="13.42578125" style="570" customWidth="1"/>
    <col min="11011" max="11011" width="15.85546875" style="570" customWidth="1"/>
    <col min="11012" max="11012" width="9.7109375" style="570" bestFit="1" customWidth="1"/>
    <col min="11013" max="11014" width="11.7109375" style="570" customWidth="1"/>
    <col min="11015" max="11015" width="11.5703125" style="570" customWidth="1"/>
    <col min="11016" max="11016" width="12.140625" style="570" customWidth="1"/>
    <col min="11017" max="11018" width="9.140625" style="570"/>
    <col min="11019" max="11019" width="4.42578125" style="570" customWidth="1"/>
    <col min="11020" max="11020" width="14.140625" style="570" customWidth="1"/>
    <col min="11021" max="11263" width="9.140625" style="570"/>
    <col min="11264" max="11264" width="5.28515625" style="570" customWidth="1"/>
    <col min="11265" max="11265" width="10.85546875" style="570" customWidth="1"/>
    <col min="11266" max="11266" width="13.42578125" style="570" customWidth="1"/>
    <col min="11267" max="11267" width="15.85546875" style="570" customWidth="1"/>
    <col min="11268" max="11268" width="9.7109375" style="570" bestFit="1" customWidth="1"/>
    <col min="11269" max="11270" width="11.7109375" style="570" customWidth="1"/>
    <col min="11271" max="11271" width="11.5703125" style="570" customWidth="1"/>
    <col min="11272" max="11272" width="12.140625" style="570" customWidth="1"/>
    <col min="11273" max="11274" width="9.140625" style="570"/>
    <col min="11275" max="11275" width="4.42578125" style="570" customWidth="1"/>
    <col min="11276" max="11276" width="14.140625" style="570" customWidth="1"/>
    <col min="11277" max="11519" width="9.140625" style="570"/>
    <col min="11520" max="11520" width="5.28515625" style="570" customWidth="1"/>
    <col min="11521" max="11521" width="10.85546875" style="570" customWidth="1"/>
    <col min="11522" max="11522" width="13.42578125" style="570" customWidth="1"/>
    <col min="11523" max="11523" width="15.85546875" style="570" customWidth="1"/>
    <col min="11524" max="11524" width="9.7109375" style="570" bestFit="1" customWidth="1"/>
    <col min="11525" max="11526" width="11.7109375" style="570" customWidth="1"/>
    <col min="11527" max="11527" width="11.5703125" style="570" customWidth="1"/>
    <col min="11528" max="11528" width="12.140625" style="570" customWidth="1"/>
    <col min="11529" max="11530" width="9.140625" style="570"/>
    <col min="11531" max="11531" width="4.42578125" style="570" customWidth="1"/>
    <col min="11532" max="11532" width="14.140625" style="570" customWidth="1"/>
    <col min="11533" max="11775" width="9.140625" style="570"/>
    <col min="11776" max="11776" width="5.28515625" style="570" customWidth="1"/>
    <col min="11777" max="11777" width="10.85546875" style="570" customWidth="1"/>
    <col min="11778" max="11778" width="13.42578125" style="570" customWidth="1"/>
    <col min="11779" max="11779" width="15.85546875" style="570" customWidth="1"/>
    <col min="11780" max="11780" width="9.7109375" style="570" bestFit="1" customWidth="1"/>
    <col min="11781" max="11782" width="11.7109375" style="570" customWidth="1"/>
    <col min="11783" max="11783" width="11.5703125" style="570" customWidth="1"/>
    <col min="11784" max="11784" width="12.140625" style="570" customWidth="1"/>
    <col min="11785" max="11786" width="9.140625" style="570"/>
    <col min="11787" max="11787" width="4.42578125" style="570" customWidth="1"/>
    <col min="11788" max="11788" width="14.140625" style="570" customWidth="1"/>
    <col min="11789" max="12031" width="9.140625" style="570"/>
    <col min="12032" max="12032" width="5.28515625" style="570" customWidth="1"/>
    <col min="12033" max="12033" width="10.85546875" style="570" customWidth="1"/>
    <col min="12034" max="12034" width="13.42578125" style="570" customWidth="1"/>
    <col min="12035" max="12035" width="15.85546875" style="570" customWidth="1"/>
    <col min="12036" max="12036" width="9.7109375" style="570" bestFit="1" customWidth="1"/>
    <col min="12037" max="12038" width="11.7109375" style="570" customWidth="1"/>
    <col min="12039" max="12039" width="11.5703125" style="570" customWidth="1"/>
    <col min="12040" max="12040" width="12.140625" style="570" customWidth="1"/>
    <col min="12041" max="12042" width="9.140625" style="570"/>
    <col min="12043" max="12043" width="4.42578125" style="570" customWidth="1"/>
    <col min="12044" max="12044" width="14.140625" style="570" customWidth="1"/>
    <col min="12045" max="12287" width="9.140625" style="570"/>
    <col min="12288" max="12288" width="5.28515625" style="570" customWidth="1"/>
    <col min="12289" max="12289" width="10.85546875" style="570" customWidth="1"/>
    <col min="12290" max="12290" width="13.42578125" style="570" customWidth="1"/>
    <col min="12291" max="12291" width="15.85546875" style="570" customWidth="1"/>
    <col min="12292" max="12292" width="9.7109375" style="570" bestFit="1" customWidth="1"/>
    <col min="12293" max="12294" width="11.7109375" style="570" customWidth="1"/>
    <col min="12295" max="12295" width="11.5703125" style="570" customWidth="1"/>
    <col min="12296" max="12296" width="12.140625" style="570" customWidth="1"/>
    <col min="12297" max="12298" width="9.140625" style="570"/>
    <col min="12299" max="12299" width="4.42578125" style="570" customWidth="1"/>
    <col min="12300" max="12300" width="14.140625" style="570" customWidth="1"/>
    <col min="12301" max="12543" width="9.140625" style="570"/>
    <col min="12544" max="12544" width="5.28515625" style="570" customWidth="1"/>
    <col min="12545" max="12545" width="10.85546875" style="570" customWidth="1"/>
    <col min="12546" max="12546" width="13.42578125" style="570" customWidth="1"/>
    <col min="12547" max="12547" width="15.85546875" style="570" customWidth="1"/>
    <col min="12548" max="12548" width="9.7109375" style="570" bestFit="1" customWidth="1"/>
    <col min="12549" max="12550" width="11.7109375" style="570" customWidth="1"/>
    <col min="12551" max="12551" width="11.5703125" style="570" customWidth="1"/>
    <col min="12552" max="12552" width="12.140625" style="570" customWidth="1"/>
    <col min="12553" max="12554" width="9.140625" style="570"/>
    <col min="12555" max="12555" width="4.42578125" style="570" customWidth="1"/>
    <col min="12556" max="12556" width="14.140625" style="570" customWidth="1"/>
    <col min="12557" max="12799" width="9.140625" style="570"/>
    <col min="12800" max="12800" width="5.28515625" style="570" customWidth="1"/>
    <col min="12801" max="12801" width="10.85546875" style="570" customWidth="1"/>
    <col min="12802" max="12802" width="13.42578125" style="570" customWidth="1"/>
    <col min="12803" max="12803" width="15.85546875" style="570" customWidth="1"/>
    <col min="12804" max="12804" width="9.7109375" style="570" bestFit="1" customWidth="1"/>
    <col min="12805" max="12806" width="11.7109375" style="570" customWidth="1"/>
    <col min="12807" max="12807" width="11.5703125" style="570" customWidth="1"/>
    <col min="12808" max="12808" width="12.140625" style="570" customWidth="1"/>
    <col min="12809" max="12810" width="9.140625" style="570"/>
    <col min="12811" max="12811" width="4.42578125" style="570" customWidth="1"/>
    <col min="12812" max="12812" width="14.140625" style="570" customWidth="1"/>
    <col min="12813" max="13055" width="9.140625" style="570"/>
    <col min="13056" max="13056" width="5.28515625" style="570" customWidth="1"/>
    <col min="13057" max="13057" width="10.85546875" style="570" customWidth="1"/>
    <col min="13058" max="13058" width="13.42578125" style="570" customWidth="1"/>
    <col min="13059" max="13059" width="15.85546875" style="570" customWidth="1"/>
    <col min="13060" max="13060" width="9.7109375" style="570" bestFit="1" customWidth="1"/>
    <col min="13061" max="13062" width="11.7109375" style="570" customWidth="1"/>
    <col min="13063" max="13063" width="11.5703125" style="570" customWidth="1"/>
    <col min="13064" max="13064" width="12.140625" style="570" customWidth="1"/>
    <col min="13065" max="13066" width="9.140625" style="570"/>
    <col min="13067" max="13067" width="4.42578125" style="570" customWidth="1"/>
    <col min="13068" max="13068" width="14.140625" style="570" customWidth="1"/>
    <col min="13069" max="13311" width="9.140625" style="570"/>
    <col min="13312" max="13312" width="5.28515625" style="570" customWidth="1"/>
    <col min="13313" max="13313" width="10.85546875" style="570" customWidth="1"/>
    <col min="13314" max="13314" width="13.42578125" style="570" customWidth="1"/>
    <col min="13315" max="13315" width="15.85546875" style="570" customWidth="1"/>
    <col min="13316" max="13316" width="9.7109375" style="570" bestFit="1" customWidth="1"/>
    <col min="13317" max="13318" width="11.7109375" style="570" customWidth="1"/>
    <col min="13319" max="13319" width="11.5703125" style="570" customWidth="1"/>
    <col min="13320" max="13320" width="12.140625" style="570" customWidth="1"/>
    <col min="13321" max="13322" width="9.140625" style="570"/>
    <col min="13323" max="13323" width="4.42578125" style="570" customWidth="1"/>
    <col min="13324" max="13324" width="14.140625" style="570" customWidth="1"/>
    <col min="13325" max="13567" width="9.140625" style="570"/>
    <col min="13568" max="13568" width="5.28515625" style="570" customWidth="1"/>
    <col min="13569" max="13569" width="10.85546875" style="570" customWidth="1"/>
    <col min="13570" max="13570" width="13.42578125" style="570" customWidth="1"/>
    <col min="13571" max="13571" width="15.85546875" style="570" customWidth="1"/>
    <col min="13572" max="13572" width="9.7109375" style="570" bestFit="1" customWidth="1"/>
    <col min="13573" max="13574" width="11.7109375" style="570" customWidth="1"/>
    <col min="13575" max="13575" width="11.5703125" style="570" customWidth="1"/>
    <col min="13576" max="13576" width="12.140625" style="570" customWidth="1"/>
    <col min="13577" max="13578" width="9.140625" style="570"/>
    <col min="13579" max="13579" width="4.42578125" style="570" customWidth="1"/>
    <col min="13580" max="13580" width="14.140625" style="570" customWidth="1"/>
    <col min="13581" max="13823" width="9.140625" style="570"/>
    <col min="13824" max="13824" width="5.28515625" style="570" customWidth="1"/>
    <col min="13825" max="13825" width="10.85546875" style="570" customWidth="1"/>
    <col min="13826" max="13826" width="13.42578125" style="570" customWidth="1"/>
    <col min="13827" max="13827" width="15.85546875" style="570" customWidth="1"/>
    <col min="13828" max="13828" width="9.7109375" style="570" bestFit="1" customWidth="1"/>
    <col min="13829" max="13830" width="11.7109375" style="570" customWidth="1"/>
    <col min="13831" max="13831" width="11.5703125" style="570" customWidth="1"/>
    <col min="13832" max="13832" width="12.140625" style="570" customWidth="1"/>
    <col min="13833" max="13834" width="9.140625" style="570"/>
    <col min="13835" max="13835" width="4.42578125" style="570" customWidth="1"/>
    <col min="13836" max="13836" width="14.140625" style="570" customWidth="1"/>
    <col min="13837" max="14079" width="9.140625" style="570"/>
    <col min="14080" max="14080" width="5.28515625" style="570" customWidth="1"/>
    <col min="14081" max="14081" width="10.85546875" style="570" customWidth="1"/>
    <col min="14082" max="14082" width="13.42578125" style="570" customWidth="1"/>
    <col min="14083" max="14083" width="15.85546875" style="570" customWidth="1"/>
    <col min="14084" max="14084" width="9.7109375" style="570" bestFit="1" customWidth="1"/>
    <col min="14085" max="14086" width="11.7109375" style="570" customWidth="1"/>
    <col min="14087" max="14087" width="11.5703125" style="570" customWidth="1"/>
    <col min="14088" max="14088" width="12.140625" style="570" customWidth="1"/>
    <col min="14089" max="14090" width="9.140625" style="570"/>
    <col min="14091" max="14091" width="4.42578125" style="570" customWidth="1"/>
    <col min="14092" max="14092" width="14.140625" style="570" customWidth="1"/>
    <col min="14093" max="14335" width="9.140625" style="570"/>
    <col min="14336" max="14336" width="5.28515625" style="570" customWidth="1"/>
    <col min="14337" max="14337" width="10.85546875" style="570" customWidth="1"/>
    <col min="14338" max="14338" width="13.42578125" style="570" customWidth="1"/>
    <col min="14339" max="14339" width="15.85546875" style="570" customWidth="1"/>
    <col min="14340" max="14340" width="9.7109375" style="570" bestFit="1" customWidth="1"/>
    <col min="14341" max="14342" width="11.7109375" style="570" customWidth="1"/>
    <col min="14343" max="14343" width="11.5703125" style="570" customWidth="1"/>
    <col min="14344" max="14344" width="12.140625" style="570" customWidth="1"/>
    <col min="14345" max="14346" width="9.140625" style="570"/>
    <col min="14347" max="14347" width="4.42578125" style="570" customWidth="1"/>
    <col min="14348" max="14348" width="14.140625" style="570" customWidth="1"/>
    <col min="14349" max="14591" width="9.140625" style="570"/>
    <col min="14592" max="14592" width="5.28515625" style="570" customWidth="1"/>
    <col min="14593" max="14593" width="10.85546875" style="570" customWidth="1"/>
    <col min="14594" max="14594" width="13.42578125" style="570" customWidth="1"/>
    <col min="14595" max="14595" width="15.85546875" style="570" customWidth="1"/>
    <col min="14596" max="14596" width="9.7109375" style="570" bestFit="1" customWidth="1"/>
    <col min="14597" max="14598" width="11.7109375" style="570" customWidth="1"/>
    <col min="14599" max="14599" width="11.5703125" style="570" customWidth="1"/>
    <col min="14600" max="14600" width="12.140625" style="570" customWidth="1"/>
    <col min="14601" max="14602" width="9.140625" style="570"/>
    <col min="14603" max="14603" width="4.42578125" style="570" customWidth="1"/>
    <col min="14604" max="14604" width="14.140625" style="570" customWidth="1"/>
    <col min="14605" max="14847" width="9.140625" style="570"/>
    <col min="14848" max="14848" width="5.28515625" style="570" customWidth="1"/>
    <col min="14849" max="14849" width="10.85546875" style="570" customWidth="1"/>
    <col min="14850" max="14850" width="13.42578125" style="570" customWidth="1"/>
    <col min="14851" max="14851" width="15.85546875" style="570" customWidth="1"/>
    <col min="14852" max="14852" width="9.7109375" style="570" bestFit="1" customWidth="1"/>
    <col min="14853" max="14854" width="11.7109375" style="570" customWidth="1"/>
    <col min="14855" max="14855" width="11.5703125" style="570" customWidth="1"/>
    <col min="14856" max="14856" width="12.140625" style="570" customWidth="1"/>
    <col min="14857" max="14858" width="9.140625" style="570"/>
    <col min="14859" max="14859" width="4.42578125" style="570" customWidth="1"/>
    <col min="14860" max="14860" width="14.140625" style="570" customWidth="1"/>
    <col min="14861" max="15103" width="9.140625" style="570"/>
    <col min="15104" max="15104" width="5.28515625" style="570" customWidth="1"/>
    <col min="15105" max="15105" width="10.85546875" style="570" customWidth="1"/>
    <col min="15106" max="15106" width="13.42578125" style="570" customWidth="1"/>
    <col min="15107" max="15107" width="15.85546875" style="570" customWidth="1"/>
    <col min="15108" max="15108" width="9.7109375" style="570" bestFit="1" customWidth="1"/>
    <col min="15109" max="15110" width="11.7109375" style="570" customWidth="1"/>
    <col min="15111" max="15111" width="11.5703125" style="570" customWidth="1"/>
    <col min="15112" max="15112" width="12.140625" style="570" customWidth="1"/>
    <col min="15113" max="15114" width="9.140625" style="570"/>
    <col min="15115" max="15115" width="4.42578125" style="570" customWidth="1"/>
    <col min="15116" max="15116" width="14.140625" style="570" customWidth="1"/>
    <col min="15117" max="15359" width="9.140625" style="570"/>
    <col min="15360" max="15360" width="5.28515625" style="570" customWidth="1"/>
    <col min="15361" max="15361" width="10.85546875" style="570" customWidth="1"/>
    <col min="15362" max="15362" width="13.42578125" style="570" customWidth="1"/>
    <col min="15363" max="15363" width="15.85546875" style="570" customWidth="1"/>
    <col min="15364" max="15364" width="9.7109375" style="570" bestFit="1" customWidth="1"/>
    <col min="15365" max="15366" width="11.7109375" style="570" customWidth="1"/>
    <col min="15367" max="15367" width="11.5703125" style="570" customWidth="1"/>
    <col min="15368" max="15368" width="12.140625" style="570" customWidth="1"/>
    <col min="15369" max="15370" width="9.140625" style="570"/>
    <col min="15371" max="15371" width="4.42578125" style="570" customWidth="1"/>
    <col min="15372" max="15372" width="14.140625" style="570" customWidth="1"/>
    <col min="15373" max="15615" width="9.140625" style="570"/>
    <col min="15616" max="15616" width="5.28515625" style="570" customWidth="1"/>
    <col min="15617" max="15617" width="10.85546875" style="570" customWidth="1"/>
    <col min="15618" max="15618" width="13.42578125" style="570" customWidth="1"/>
    <col min="15619" max="15619" width="15.85546875" style="570" customWidth="1"/>
    <col min="15620" max="15620" width="9.7109375" style="570" bestFit="1" customWidth="1"/>
    <col min="15621" max="15622" width="11.7109375" style="570" customWidth="1"/>
    <col min="15623" max="15623" width="11.5703125" style="570" customWidth="1"/>
    <col min="15624" max="15624" width="12.140625" style="570" customWidth="1"/>
    <col min="15625" max="15626" width="9.140625" style="570"/>
    <col min="15627" max="15627" width="4.42578125" style="570" customWidth="1"/>
    <col min="15628" max="15628" width="14.140625" style="570" customWidth="1"/>
    <col min="15629" max="15871" width="9.140625" style="570"/>
    <col min="15872" max="15872" width="5.28515625" style="570" customWidth="1"/>
    <col min="15873" max="15873" width="10.85546875" style="570" customWidth="1"/>
    <col min="15874" max="15874" width="13.42578125" style="570" customWidth="1"/>
    <col min="15875" max="15875" width="15.85546875" style="570" customWidth="1"/>
    <col min="15876" max="15876" width="9.7109375" style="570" bestFit="1" customWidth="1"/>
    <col min="15877" max="15878" width="11.7109375" style="570" customWidth="1"/>
    <col min="15879" max="15879" width="11.5703125" style="570" customWidth="1"/>
    <col min="15880" max="15880" width="12.140625" style="570" customWidth="1"/>
    <col min="15881" max="15882" width="9.140625" style="570"/>
    <col min="15883" max="15883" width="4.42578125" style="570" customWidth="1"/>
    <col min="15884" max="15884" width="14.140625" style="570" customWidth="1"/>
    <col min="15885" max="16127" width="9.140625" style="570"/>
    <col min="16128" max="16128" width="5.28515625" style="570" customWidth="1"/>
    <col min="16129" max="16129" width="10.85546875" style="570" customWidth="1"/>
    <col min="16130" max="16130" width="13.42578125" style="570" customWidth="1"/>
    <col min="16131" max="16131" width="15.85546875" style="570" customWidth="1"/>
    <col min="16132" max="16132" width="9.7109375" style="570" bestFit="1" customWidth="1"/>
    <col min="16133" max="16134" width="11.7109375" style="570" customWidth="1"/>
    <col min="16135" max="16135" width="11.5703125" style="570" customWidth="1"/>
    <col min="16136" max="16136" width="12.140625" style="570" customWidth="1"/>
    <col min="16137" max="16138" width="9.140625" style="570"/>
    <col min="16139" max="16139" width="4.42578125" style="570" customWidth="1"/>
    <col min="16140" max="16140" width="14.140625" style="570" customWidth="1"/>
    <col min="16141" max="16384" width="9.140625" style="570"/>
  </cols>
  <sheetData>
    <row r="1" spans="1:19" s="572" customFormat="1" ht="20.100000000000001" customHeight="1">
      <c r="A1" s="1660" t="s">
        <v>751</v>
      </c>
      <c r="B1" s="1661"/>
      <c r="C1" s="1661"/>
      <c r="D1" s="1661"/>
      <c r="E1" s="1661"/>
      <c r="F1" s="1661"/>
      <c r="G1" s="1661"/>
      <c r="H1" s="1661"/>
      <c r="I1" s="1661"/>
      <c r="J1" s="1661"/>
      <c r="K1" s="1661"/>
      <c r="L1" s="1662"/>
    </row>
    <row r="2" spans="1:19" s="572" customFormat="1" ht="20.100000000000001" customHeight="1">
      <c r="A2" s="1663"/>
      <c r="B2" s="1663"/>
      <c r="C2" s="1663"/>
      <c r="D2" s="1663"/>
      <c r="E2" s="1663"/>
      <c r="F2" s="1663"/>
      <c r="G2" s="1663"/>
      <c r="H2" s="1663"/>
      <c r="I2" s="1663"/>
      <c r="J2" s="1663"/>
      <c r="K2" s="1663"/>
      <c r="L2" s="1663"/>
    </row>
    <row r="3" spans="1:19" s="572" customFormat="1" ht="20.100000000000001" customHeight="1">
      <c r="A3" s="551"/>
      <c r="B3" s="552" t="s">
        <v>644</v>
      </c>
      <c r="C3" s="552"/>
      <c r="D3" s="552"/>
      <c r="E3" s="552"/>
      <c r="F3" s="552"/>
      <c r="G3" s="552"/>
      <c r="H3" s="552"/>
      <c r="I3" s="552"/>
      <c r="J3" s="552"/>
      <c r="K3" s="552"/>
      <c r="L3" s="552"/>
    </row>
    <row r="4" spans="1:19" s="572" customFormat="1" ht="20.100000000000001" customHeight="1">
      <c r="A4" s="551"/>
      <c r="B4" s="552" t="s">
        <v>645</v>
      </c>
      <c r="C4" s="552"/>
      <c r="D4" s="552">
        <v>1000</v>
      </c>
      <c r="E4" s="552" t="s">
        <v>646</v>
      </c>
      <c r="F4" s="552"/>
      <c r="G4" s="552"/>
      <c r="H4" s="552"/>
      <c r="I4" s="552"/>
      <c r="J4" s="552"/>
      <c r="K4" s="552"/>
      <c r="L4" s="552"/>
    </row>
    <row r="5" spans="1:19" s="572" customFormat="1" ht="20.100000000000001" customHeight="1">
      <c r="A5" s="551"/>
      <c r="B5" s="552" t="s">
        <v>647</v>
      </c>
      <c r="C5" s="552"/>
      <c r="D5" s="552">
        <v>115</v>
      </c>
      <c r="E5" s="552" t="s">
        <v>646</v>
      </c>
      <c r="F5" s="552"/>
      <c r="G5" s="552"/>
      <c r="H5" s="552"/>
      <c r="I5" s="552"/>
      <c r="J5" s="552"/>
      <c r="K5" s="552"/>
      <c r="L5" s="552"/>
    </row>
    <row r="6" spans="1:19" s="572" customFormat="1" ht="20.100000000000001" customHeight="1">
      <c r="A6" s="551"/>
      <c r="B6" s="552"/>
      <c r="C6" s="552"/>
      <c r="D6" s="552"/>
      <c r="E6" s="552"/>
      <c r="F6" s="552"/>
      <c r="G6" s="552"/>
      <c r="H6" s="552"/>
      <c r="I6" s="552"/>
      <c r="J6" s="552"/>
      <c r="K6" s="552"/>
      <c r="L6" s="552"/>
    </row>
    <row r="7" spans="1:19" s="572" customFormat="1" ht="20.100000000000001" customHeight="1">
      <c r="A7" s="551" t="s">
        <v>648</v>
      </c>
      <c r="B7" s="552" t="s">
        <v>649</v>
      </c>
      <c r="C7" s="552"/>
      <c r="D7" s="552">
        <f>D4</f>
        <v>1000</v>
      </c>
      <c r="E7" s="552" t="s">
        <v>650</v>
      </c>
      <c r="F7" s="552"/>
      <c r="G7" s="552"/>
      <c r="H7" s="553"/>
      <c r="I7" s="552"/>
      <c r="J7" s="552"/>
      <c r="K7" s="552" t="s">
        <v>651</v>
      </c>
      <c r="L7" s="554">
        <v>7872</v>
      </c>
      <c r="N7" s="573"/>
      <c r="O7" s="573"/>
      <c r="P7" s="573"/>
      <c r="Q7" s="573"/>
      <c r="R7" s="573"/>
    </row>
    <row r="8" spans="1:19" s="572" customFormat="1" ht="20.100000000000001" customHeight="1">
      <c r="A8" s="551"/>
      <c r="B8" s="1664" t="s">
        <v>652</v>
      </c>
      <c r="C8" s="1664"/>
      <c r="D8" s="1664"/>
      <c r="E8" s="1664"/>
      <c r="F8" s="1664"/>
      <c r="G8" s="1664"/>
      <c r="H8" s="552"/>
      <c r="I8" s="552"/>
      <c r="J8" s="552"/>
      <c r="K8" s="552"/>
      <c r="L8" s="552"/>
    </row>
    <row r="9" spans="1:19" s="572" customFormat="1" ht="20.100000000000001" customHeight="1">
      <c r="A9" s="551"/>
      <c r="B9" s="552"/>
      <c r="C9" s="552"/>
      <c r="D9" s="552"/>
      <c r="E9" s="552"/>
      <c r="F9" s="552"/>
      <c r="G9" s="552"/>
      <c r="H9" s="552"/>
      <c r="I9" s="552"/>
      <c r="J9" s="552"/>
      <c r="K9" s="552"/>
      <c r="L9" s="552"/>
    </row>
    <row r="10" spans="1:19" s="572" customFormat="1" ht="20.100000000000001" customHeight="1">
      <c r="A10" s="551"/>
      <c r="B10" s="552"/>
      <c r="C10" s="552"/>
      <c r="D10" s="552"/>
      <c r="E10" s="552"/>
      <c r="F10" s="552"/>
      <c r="G10" s="552"/>
      <c r="H10" s="552"/>
      <c r="I10" s="552"/>
      <c r="J10" s="552"/>
      <c r="K10" s="552"/>
      <c r="L10" s="552"/>
    </row>
    <row r="11" spans="1:19" s="572" customFormat="1" ht="20.100000000000001" customHeight="1">
      <c r="A11" s="551" t="s">
        <v>653</v>
      </c>
      <c r="B11" s="555" t="s">
        <v>654</v>
      </c>
      <c r="C11" s="555"/>
      <c r="D11" s="555"/>
      <c r="E11" s="555"/>
      <c r="F11" s="555"/>
      <c r="G11" s="555"/>
      <c r="H11" s="552"/>
      <c r="I11" s="552"/>
      <c r="J11" s="552"/>
      <c r="K11" s="552"/>
      <c r="L11" s="552"/>
      <c r="N11" s="1667"/>
      <c r="O11" s="1667"/>
      <c r="P11" s="1667"/>
      <c r="Q11" s="1667"/>
      <c r="R11" s="1667"/>
      <c r="S11" s="1667"/>
    </row>
    <row r="12" spans="1:19" s="572" customFormat="1" ht="20.100000000000001" customHeight="1">
      <c r="A12" s="551"/>
      <c r="B12" s="555" t="s">
        <v>655</v>
      </c>
      <c r="C12" s="555">
        <v>21.52</v>
      </c>
      <c r="D12" s="555" t="s">
        <v>656</v>
      </c>
      <c r="E12" s="555"/>
      <c r="F12" s="1668" t="s">
        <v>657</v>
      </c>
      <c r="G12" s="1668"/>
      <c r="H12" s="552">
        <f>SUM(C12:C13)</f>
        <v>24.18</v>
      </c>
      <c r="I12" s="552" t="s">
        <v>658</v>
      </c>
      <c r="J12" s="552"/>
      <c r="K12" s="552"/>
      <c r="L12" s="552"/>
      <c r="N12" s="574"/>
      <c r="O12" s="574"/>
      <c r="P12" s="574"/>
      <c r="Q12" s="574"/>
      <c r="R12" s="574"/>
      <c r="S12" s="574"/>
    </row>
    <row r="13" spans="1:19" s="572" customFormat="1" ht="20.100000000000001" customHeight="1">
      <c r="A13" s="551"/>
      <c r="B13" s="555" t="s">
        <v>660</v>
      </c>
      <c r="C13" s="555">
        <v>2.66</v>
      </c>
      <c r="D13" s="555" t="s">
        <v>656</v>
      </c>
      <c r="E13" s="555"/>
      <c r="F13" s="555"/>
      <c r="G13" s="555"/>
      <c r="H13" s="552"/>
      <c r="I13" s="552"/>
      <c r="J13" s="552"/>
      <c r="K13" s="552"/>
      <c r="L13" s="552"/>
      <c r="N13" s="574"/>
      <c r="O13" s="574"/>
      <c r="P13" s="574"/>
      <c r="Q13" s="574"/>
      <c r="R13" s="574"/>
      <c r="S13" s="574"/>
    </row>
    <row r="14" spans="1:19" s="572" customFormat="1" ht="20.100000000000001" customHeight="1">
      <c r="A14" s="551"/>
      <c r="B14" s="556"/>
      <c r="C14" s="556"/>
      <c r="D14" s="556"/>
      <c r="E14" s="552"/>
      <c r="F14" s="552"/>
      <c r="G14" s="552"/>
      <c r="H14" s="552"/>
      <c r="I14" s="552"/>
      <c r="J14" s="552"/>
      <c r="K14" s="552"/>
      <c r="L14" s="552"/>
    </row>
    <row r="15" spans="1:19" s="572" customFormat="1" ht="20.100000000000001" customHeight="1">
      <c r="A15" s="551"/>
      <c r="B15" s="555" t="s">
        <v>661</v>
      </c>
      <c r="C15" s="557"/>
      <c r="D15" s="558"/>
      <c r="E15" s="558">
        <v>37000</v>
      </c>
      <c r="F15" s="554"/>
      <c r="G15" s="552" t="s">
        <v>662</v>
      </c>
      <c r="H15" s="552"/>
      <c r="I15" s="554"/>
      <c r="J15" s="552"/>
      <c r="K15" s="552"/>
      <c r="L15" s="552"/>
    </row>
    <row r="16" spans="1:19" s="572" customFormat="1" ht="20.100000000000001" customHeight="1">
      <c r="A16" s="551"/>
      <c r="B16" s="555" t="s">
        <v>663</v>
      </c>
      <c r="C16" s="557"/>
      <c r="D16" s="558"/>
      <c r="E16" s="558">
        <v>47000</v>
      </c>
      <c r="F16" s="554"/>
      <c r="G16" s="552" t="s">
        <v>664</v>
      </c>
      <c r="H16" s="552"/>
      <c r="I16" s="554"/>
      <c r="J16" s="552"/>
      <c r="K16" s="552"/>
      <c r="L16" s="552"/>
    </row>
    <row r="17" spans="1:14" s="572" customFormat="1" ht="18.75">
      <c r="A17" s="551"/>
      <c r="B17" s="552"/>
      <c r="C17" s="552" t="s">
        <v>665</v>
      </c>
      <c r="D17" s="557" t="s">
        <v>651</v>
      </c>
      <c r="E17" s="552"/>
      <c r="F17" s="559">
        <f>E15-E16</f>
        <v>-10000</v>
      </c>
      <c r="G17" s="1666">
        <f>-H12</f>
        <v>-24.18</v>
      </c>
      <c r="H17" s="560"/>
      <c r="I17" s="555"/>
      <c r="J17" s="552"/>
      <c r="K17" s="552" t="s">
        <v>651</v>
      </c>
      <c r="L17" s="561">
        <f>(E15-E16)/1000*H12</f>
        <v>-241.8</v>
      </c>
    </row>
    <row r="18" spans="1:14" s="572" customFormat="1" ht="18.75">
      <c r="A18" s="551"/>
      <c r="B18" s="552"/>
      <c r="C18" s="552"/>
      <c r="D18" s="552"/>
      <c r="E18" s="552"/>
      <c r="F18" s="562">
        <v>1000</v>
      </c>
      <c r="G18" s="1666"/>
      <c r="H18" s="546"/>
      <c r="I18" s="555"/>
      <c r="J18" s="552"/>
      <c r="K18" s="552"/>
      <c r="L18" s="552"/>
    </row>
    <row r="19" spans="1:14" s="572" customFormat="1" ht="18.75">
      <c r="A19" s="551"/>
      <c r="B19" s="552"/>
      <c r="C19" s="552"/>
      <c r="D19" s="552"/>
      <c r="E19" s="552"/>
      <c r="F19" s="552"/>
      <c r="G19" s="552"/>
      <c r="H19" s="552"/>
      <c r="I19" s="552"/>
      <c r="J19" s="552"/>
      <c r="K19" s="552"/>
      <c r="L19" s="552"/>
    </row>
    <row r="20" spans="1:14" s="572" customFormat="1" ht="18.75">
      <c r="A20" s="551"/>
      <c r="B20" s="1664"/>
      <c r="C20" s="1664"/>
      <c r="D20" s="1664"/>
      <c r="E20" s="1664"/>
      <c r="F20" s="1664"/>
      <c r="G20" s="1664"/>
      <c r="H20" s="1664"/>
      <c r="I20" s="552"/>
      <c r="J20" s="552"/>
      <c r="K20" s="552" t="s">
        <v>651</v>
      </c>
      <c r="L20" s="563">
        <f>L7+L17</f>
        <v>7630.2</v>
      </c>
    </row>
    <row r="21" spans="1:14" s="572" customFormat="1" ht="18.75">
      <c r="A21" s="551"/>
      <c r="B21" s="552"/>
      <c r="C21" s="552"/>
      <c r="D21" s="552"/>
      <c r="E21" s="552"/>
      <c r="F21" s="552"/>
      <c r="G21" s="552"/>
      <c r="H21" s="552"/>
      <c r="I21" s="552"/>
      <c r="J21" s="552"/>
      <c r="K21" s="552"/>
      <c r="L21" s="552"/>
    </row>
    <row r="22" spans="1:14" s="572" customFormat="1" ht="18.75">
      <c r="A22" s="551" t="s">
        <v>666</v>
      </c>
      <c r="B22" s="1664" t="s">
        <v>667</v>
      </c>
      <c r="C22" s="1664"/>
      <c r="D22" s="1664"/>
      <c r="E22" s="1664"/>
      <c r="F22" s="1664"/>
      <c r="G22" s="1664"/>
      <c r="H22" s="1664"/>
      <c r="I22" s="552"/>
      <c r="J22" s="552"/>
      <c r="K22" s="552"/>
      <c r="L22" s="563"/>
    </row>
    <row r="23" spans="1:14" s="572" customFormat="1" ht="18.75">
      <c r="A23" s="551"/>
      <c r="B23" s="552" t="s">
        <v>668</v>
      </c>
      <c r="C23" s="552"/>
      <c r="D23" s="555" t="s">
        <v>669</v>
      </c>
      <c r="E23" s="555">
        <f>(D4+D5/2)/1000</f>
        <v>1.0575000000000001</v>
      </c>
      <c r="F23" s="546" t="s">
        <v>163</v>
      </c>
      <c r="G23" s="555">
        <f>D5/1000</f>
        <v>0.115</v>
      </c>
      <c r="H23" s="555" t="s">
        <v>670</v>
      </c>
      <c r="I23" s="556"/>
      <c r="J23" s="564">
        <f>(22/7)*((D4+(D5/2))*D5*2.65)/1000000</f>
        <v>1.0128583928571429</v>
      </c>
      <c r="K23" s="555" t="s">
        <v>109</v>
      </c>
      <c r="L23" s="563"/>
    </row>
    <row r="24" spans="1:14" s="572" customFormat="1" ht="18.75">
      <c r="A24" s="551"/>
      <c r="B24" s="552" t="s">
        <v>671</v>
      </c>
      <c r="C24" s="552"/>
      <c r="D24" s="552"/>
      <c r="E24" s="552"/>
      <c r="F24" s="552"/>
      <c r="G24" s="555"/>
      <c r="H24" s="555"/>
      <c r="I24" s="552"/>
      <c r="J24" s="552"/>
      <c r="K24" s="552"/>
      <c r="L24" s="563"/>
    </row>
    <row r="25" spans="1:14" s="572" customFormat="1" ht="18.75">
      <c r="A25" s="551"/>
      <c r="B25" s="552">
        <f>J23</f>
        <v>1.0128583928571429</v>
      </c>
      <c r="C25" s="565" t="s">
        <v>672</v>
      </c>
      <c r="D25" s="565">
        <f>B25*7.2</f>
        <v>7.2925804285714291</v>
      </c>
      <c r="E25" s="552" t="s">
        <v>673</v>
      </c>
      <c r="F25" s="552"/>
      <c r="G25" s="558">
        <f>D25/2.5</f>
        <v>2.9170321714285716</v>
      </c>
      <c r="H25" s="552" t="s">
        <v>674</v>
      </c>
      <c r="I25" s="556"/>
      <c r="J25" s="556"/>
      <c r="K25" s="556"/>
      <c r="L25" s="556"/>
      <c r="N25" s="575"/>
    </row>
    <row r="26" spans="1:14" s="572" customFormat="1" ht="18.75">
      <c r="A26" s="551"/>
      <c r="B26" s="555" t="s">
        <v>675</v>
      </c>
      <c r="C26" s="554"/>
      <c r="D26" s="566"/>
      <c r="E26" s="566"/>
      <c r="F26" s="557" t="s">
        <v>676</v>
      </c>
      <c r="G26" s="558">
        <f>G25*50</f>
        <v>145.85160857142859</v>
      </c>
      <c r="H26" s="552" t="s">
        <v>658</v>
      </c>
      <c r="I26" s="552"/>
      <c r="J26" s="552"/>
      <c r="K26" s="552"/>
      <c r="L26" s="563"/>
    </row>
    <row r="27" spans="1:14" s="572" customFormat="1" ht="18.75">
      <c r="A27" s="551"/>
      <c r="B27" s="552"/>
      <c r="C27" s="552"/>
      <c r="D27" s="552"/>
      <c r="E27" s="552"/>
      <c r="F27" s="557"/>
      <c r="G27" s="339"/>
      <c r="H27" s="556"/>
      <c r="I27" s="552"/>
      <c r="J27" s="552"/>
      <c r="K27" s="552"/>
      <c r="L27" s="563"/>
    </row>
    <row r="28" spans="1:14" s="572" customFormat="1" ht="18.75">
      <c r="A28" s="551"/>
      <c r="B28" s="1664" t="s">
        <v>677</v>
      </c>
      <c r="C28" s="1664"/>
      <c r="D28" s="1664"/>
      <c r="E28" s="1664"/>
      <c r="F28" s="1664"/>
      <c r="G28" s="1664"/>
      <c r="H28" s="552"/>
      <c r="I28" s="552"/>
      <c r="J28" s="552"/>
      <c r="K28" s="552"/>
      <c r="L28" s="563"/>
    </row>
    <row r="29" spans="1:14" s="572" customFormat="1" ht="18.75">
      <c r="A29" s="551"/>
      <c r="B29" s="567" t="s">
        <v>678</v>
      </c>
      <c r="C29" s="567"/>
      <c r="D29" s="567"/>
      <c r="E29" s="562">
        <v>4300</v>
      </c>
      <c r="F29" s="567" t="s">
        <v>679</v>
      </c>
      <c r="G29" s="567"/>
      <c r="H29" s="552"/>
      <c r="I29" s="552"/>
      <c r="J29" s="552"/>
      <c r="K29" s="552"/>
      <c r="L29" s="563"/>
    </row>
    <row r="30" spans="1:14" s="572" customFormat="1" ht="18.75">
      <c r="A30" s="551"/>
      <c r="B30" s="567" t="s">
        <v>680</v>
      </c>
      <c r="C30" s="567"/>
      <c r="D30" s="567"/>
      <c r="E30" s="562">
        <v>5300</v>
      </c>
      <c r="F30" s="567" t="s">
        <v>679</v>
      </c>
      <c r="G30" s="567"/>
      <c r="H30" s="552"/>
      <c r="I30" s="552"/>
      <c r="J30" s="552"/>
      <c r="K30" s="552"/>
      <c r="L30" s="563"/>
    </row>
    <row r="31" spans="1:14" s="572" customFormat="1" ht="18.75">
      <c r="A31" s="551"/>
      <c r="B31" s="555"/>
      <c r="C31" s="555"/>
      <c r="D31" s="557"/>
      <c r="E31" s="557"/>
      <c r="F31" s="567"/>
      <c r="G31" s="339">
        <f>E29-E30</f>
        <v>-1000</v>
      </c>
      <c r="H31" s="1665">
        <f>G26</f>
        <v>145.85160857142859</v>
      </c>
      <c r="I31" s="546"/>
      <c r="J31" s="568"/>
      <c r="K31" s="552" t="s">
        <v>651</v>
      </c>
      <c r="L31" s="554">
        <f>G31/1000*H31</f>
        <v>-145.85160857142859</v>
      </c>
    </row>
    <row r="32" spans="1:14" s="572" customFormat="1" ht="18.75">
      <c r="A32" s="551"/>
      <c r="B32" s="552"/>
      <c r="C32" s="552"/>
      <c r="D32" s="552"/>
      <c r="E32" s="552"/>
      <c r="F32" s="552"/>
      <c r="G32" s="546">
        <v>1000</v>
      </c>
      <c r="H32" s="1666"/>
      <c r="I32" s="546"/>
      <c r="J32" s="552"/>
      <c r="K32" s="552"/>
      <c r="L32" s="552"/>
    </row>
    <row r="33" spans="1:15" s="572" customFormat="1" ht="18.75">
      <c r="A33" s="551"/>
      <c r="B33" s="552"/>
      <c r="C33" s="552"/>
      <c r="D33" s="552"/>
      <c r="E33" s="552"/>
      <c r="F33" s="552"/>
      <c r="G33" s="552"/>
      <c r="H33" s="552"/>
      <c r="I33" s="552"/>
      <c r="J33" s="552"/>
      <c r="K33" s="552"/>
      <c r="L33" s="552"/>
    </row>
    <row r="34" spans="1:15" s="572" customFormat="1" ht="18.75">
      <c r="A34" s="551"/>
      <c r="B34" s="552"/>
      <c r="C34" s="552"/>
      <c r="D34" s="552"/>
      <c r="E34" s="552"/>
      <c r="F34" s="552"/>
      <c r="G34" s="552"/>
      <c r="H34" s="552"/>
      <c r="I34" s="546"/>
      <c r="J34" s="552"/>
      <c r="K34" s="552"/>
      <c r="L34" s="554"/>
    </row>
    <row r="35" spans="1:15" s="572" customFormat="1" ht="18.75">
      <c r="A35" s="551" t="s">
        <v>681</v>
      </c>
      <c r="B35" s="556" t="s">
        <v>682</v>
      </c>
      <c r="C35" s="552"/>
      <c r="D35" s="552">
        <f>D4</f>
        <v>1000</v>
      </c>
      <c r="E35" s="552" t="s">
        <v>683</v>
      </c>
      <c r="F35" s="552"/>
      <c r="G35" s="552"/>
      <c r="H35" s="552"/>
      <c r="I35" s="552"/>
      <c r="J35" s="552"/>
      <c r="K35" s="552"/>
      <c r="L35" s="563">
        <f>L31+L20</f>
        <v>7484.3483914285716</v>
      </c>
      <c r="O35" s="576"/>
    </row>
    <row r="36" spans="1:15" s="572" customFormat="1" ht="18.75">
      <c r="A36" s="551" t="s">
        <v>684</v>
      </c>
      <c r="B36" s="552" t="s">
        <v>757</v>
      </c>
      <c r="C36" s="552"/>
      <c r="D36" s="552"/>
      <c r="E36" s="552"/>
      <c r="F36" s="552"/>
      <c r="G36" s="552"/>
      <c r="H36" s="552"/>
      <c r="I36" s="552"/>
      <c r="J36" s="552"/>
      <c r="K36" s="552"/>
      <c r="L36" s="554">
        <f>244.85+15*11.95</f>
        <v>424.1</v>
      </c>
      <c r="N36" s="572" t="s">
        <v>685</v>
      </c>
    </row>
    <row r="37" spans="1:15" s="572" customFormat="1" ht="18.75">
      <c r="A37" s="551"/>
      <c r="B37" s="552"/>
      <c r="C37" s="552"/>
      <c r="D37" s="552"/>
      <c r="E37" s="552"/>
      <c r="F37" s="552"/>
      <c r="G37" s="552"/>
      <c r="H37" s="552"/>
      <c r="I37" s="552"/>
      <c r="J37" s="1591" t="s">
        <v>686</v>
      </c>
      <c r="K37" s="1591"/>
      <c r="L37" s="563">
        <f>SUM(L35:L36)</f>
        <v>7908.448391428572</v>
      </c>
    </row>
    <row r="38" spans="1:15" s="572" customFormat="1" ht="18.75">
      <c r="A38" s="551" t="s">
        <v>687</v>
      </c>
      <c r="B38" s="569">
        <v>0.13614999999999999</v>
      </c>
      <c r="C38" s="552" t="s">
        <v>688</v>
      </c>
      <c r="D38" s="552"/>
      <c r="E38" s="552"/>
      <c r="F38" s="552"/>
      <c r="G38" s="552"/>
      <c r="H38" s="552"/>
      <c r="I38" s="552"/>
      <c r="J38" s="552"/>
      <c r="K38" s="552"/>
      <c r="L38" s="554">
        <f>L37*13.615%</f>
        <v>1076.735248493</v>
      </c>
    </row>
    <row r="39" spans="1:15" s="572" customFormat="1" ht="18.75">
      <c r="A39" s="551" t="s">
        <v>689</v>
      </c>
      <c r="B39" s="552" t="s">
        <v>756</v>
      </c>
      <c r="C39" s="552"/>
      <c r="D39" s="552"/>
      <c r="E39" s="552"/>
      <c r="F39" s="552"/>
      <c r="G39" s="552"/>
      <c r="H39" s="552"/>
      <c r="I39" s="552"/>
      <c r="J39" s="552"/>
      <c r="K39" s="552"/>
      <c r="L39" s="554">
        <v>671</v>
      </c>
    </row>
    <row r="40" spans="1:15" s="572" customFormat="1" ht="18.75">
      <c r="A40" s="551"/>
      <c r="B40" s="552"/>
      <c r="C40" s="552"/>
      <c r="D40" s="552"/>
      <c r="E40" s="552"/>
      <c r="F40" s="552"/>
      <c r="G40" s="552"/>
      <c r="H40" s="552"/>
      <c r="I40" s="552"/>
      <c r="J40" s="552"/>
      <c r="K40" s="552" t="s">
        <v>651</v>
      </c>
      <c r="L40" s="563">
        <f>SUM(L37:L39)</f>
        <v>9656.1836399215717</v>
      </c>
    </row>
    <row r="41" spans="1:15" s="572" customFormat="1" ht="18.75">
      <c r="A41" s="551"/>
      <c r="B41" s="552"/>
      <c r="C41" s="552"/>
      <c r="D41" s="552"/>
      <c r="E41" s="552"/>
      <c r="F41" s="552"/>
      <c r="G41" s="552"/>
      <c r="H41" s="552"/>
      <c r="I41" s="552"/>
      <c r="J41" s="553" t="s">
        <v>691</v>
      </c>
      <c r="K41" s="553" t="s">
        <v>692</v>
      </c>
      <c r="L41" s="563">
        <f>CEILING(L40,0.05)</f>
        <v>9656.2000000000007</v>
      </c>
    </row>
    <row r="42" spans="1:15" s="572" customFormat="1" ht="18.75">
      <c r="A42" s="551"/>
      <c r="B42" s="552"/>
      <c r="C42" s="552"/>
      <c r="D42" s="552"/>
      <c r="E42" s="552"/>
      <c r="F42" s="552"/>
      <c r="G42" s="552"/>
      <c r="H42" s="552"/>
      <c r="I42" s="552"/>
      <c r="J42" s="552"/>
      <c r="K42" s="552"/>
      <c r="L42" s="553" t="s">
        <v>693</v>
      </c>
    </row>
  </sheetData>
  <mergeCells count="11">
    <mergeCell ref="J37:K37"/>
    <mergeCell ref="B28:G28"/>
    <mergeCell ref="H31:H32"/>
    <mergeCell ref="N11:S11"/>
    <mergeCell ref="F12:G12"/>
    <mergeCell ref="G17:G18"/>
    <mergeCell ref="A1:L1"/>
    <mergeCell ref="A2:L2"/>
    <mergeCell ref="B8:G8"/>
    <mergeCell ref="B20:H20"/>
    <mergeCell ref="B22:H22"/>
  </mergeCells>
  <pageMargins left="0.7" right="0.7" top="0.75" bottom="0.75" header="0.3" footer="0.3"/>
  <pageSetup paperSize="9" scale="61" orientation="portrait" horizontalDpi="300" verticalDpi="300" r:id="rId1"/>
</worksheet>
</file>

<file path=xl/worksheets/sheet33.xml><?xml version="1.0" encoding="utf-8"?>
<worksheet xmlns="http://schemas.openxmlformats.org/spreadsheetml/2006/main" xmlns:r="http://schemas.openxmlformats.org/officeDocument/2006/relationships">
  <dimension ref="A1:S62"/>
  <sheetViews>
    <sheetView view="pageBreakPreview" topLeftCell="A42" zoomScaleSheetLayoutView="100" workbookViewId="0">
      <selection activeCell="G57" sqref="G57"/>
    </sheetView>
  </sheetViews>
  <sheetFormatPr defaultRowHeight="12.75"/>
  <cols>
    <col min="1" max="1" width="5.28515625" style="570" customWidth="1"/>
    <col min="2" max="2" width="10.85546875" style="570" customWidth="1"/>
    <col min="3" max="3" width="18.85546875" style="570" customWidth="1"/>
    <col min="4" max="4" width="15.85546875" style="570" customWidth="1"/>
    <col min="5" max="5" width="11" style="570" bestFit="1" customWidth="1"/>
    <col min="6" max="6" width="15.5703125" style="570" customWidth="1"/>
    <col min="7" max="7" width="11.7109375" style="570" customWidth="1"/>
    <col min="8" max="8" width="11.5703125" style="570" customWidth="1"/>
    <col min="9" max="9" width="12.140625" style="570" customWidth="1"/>
    <col min="10" max="10" width="9.140625" style="570"/>
    <col min="11" max="11" width="4.42578125" style="570" customWidth="1"/>
    <col min="12" max="12" width="14.140625" style="570" customWidth="1"/>
    <col min="13" max="255" width="9.140625" style="570"/>
    <col min="256" max="256" width="5.28515625" style="570" customWidth="1"/>
    <col min="257" max="257" width="10.85546875" style="570" customWidth="1"/>
    <col min="258" max="258" width="13.42578125" style="570" customWidth="1"/>
    <col min="259" max="259" width="15.85546875" style="570" customWidth="1"/>
    <col min="260" max="260" width="9.7109375" style="570" bestFit="1" customWidth="1"/>
    <col min="261" max="262" width="11.7109375" style="570" customWidth="1"/>
    <col min="263" max="263" width="11.5703125" style="570" customWidth="1"/>
    <col min="264" max="264" width="12.140625" style="570" customWidth="1"/>
    <col min="265" max="266" width="9.140625" style="570"/>
    <col min="267" max="267" width="4.42578125" style="570" customWidth="1"/>
    <col min="268" max="268" width="14.140625" style="570" customWidth="1"/>
    <col min="269" max="511" width="9.140625" style="570"/>
    <col min="512" max="512" width="5.28515625" style="570" customWidth="1"/>
    <col min="513" max="513" width="10.85546875" style="570" customWidth="1"/>
    <col min="514" max="514" width="13.42578125" style="570" customWidth="1"/>
    <col min="515" max="515" width="15.85546875" style="570" customWidth="1"/>
    <col min="516" max="516" width="9.7109375" style="570" bestFit="1" customWidth="1"/>
    <col min="517" max="518" width="11.7109375" style="570" customWidth="1"/>
    <col min="519" max="519" width="11.5703125" style="570" customWidth="1"/>
    <col min="520" max="520" width="12.140625" style="570" customWidth="1"/>
    <col min="521" max="522" width="9.140625" style="570"/>
    <col min="523" max="523" width="4.42578125" style="570" customWidth="1"/>
    <col min="524" max="524" width="14.140625" style="570" customWidth="1"/>
    <col min="525" max="767" width="9.140625" style="570"/>
    <col min="768" max="768" width="5.28515625" style="570" customWidth="1"/>
    <col min="769" max="769" width="10.85546875" style="570" customWidth="1"/>
    <col min="770" max="770" width="13.42578125" style="570" customWidth="1"/>
    <col min="771" max="771" width="15.85546875" style="570" customWidth="1"/>
    <col min="772" max="772" width="9.7109375" style="570" bestFit="1" customWidth="1"/>
    <col min="773" max="774" width="11.7109375" style="570" customWidth="1"/>
    <col min="775" max="775" width="11.5703125" style="570" customWidth="1"/>
    <col min="776" max="776" width="12.140625" style="570" customWidth="1"/>
    <col min="777" max="778" width="9.140625" style="570"/>
    <col min="779" max="779" width="4.42578125" style="570" customWidth="1"/>
    <col min="780" max="780" width="14.140625" style="570" customWidth="1"/>
    <col min="781" max="1023" width="9.140625" style="570"/>
    <col min="1024" max="1024" width="5.28515625" style="570" customWidth="1"/>
    <col min="1025" max="1025" width="10.85546875" style="570" customWidth="1"/>
    <col min="1026" max="1026" width="13.42578125" style="570" customWidth="1"/>
    <col min="1027" max="1027" width="15.85546875" style="570" customWidth="1"/>
    <col min="1028" max="1028" width="9.7109375" style="570" bestFit="1" customWidth="1"/>
    <col min="1029" max="1030" width="11.7109375" style="570" customWidth="1"/>
    <col min="1031" max="1031" width="11.5703125" style="570" customWidth="1"/>
    <col min="1032" max="1032" width="12.140625" style="570" customWidth="1"/>
    <col min="1033" max="1034" width="9.140625" style="570"/>
    <col min="1035" max="1035" width="4.42578125" style="570" customWidth="1"/>
    <col min="1036" max="1036" width="14.140625" style="570" customWidth="1"/>
    <col min="1037" max="1279" width="9.140625" style="570"/>
    <col min="1280" max="1280" width="5.28515625" style="570" customWidth="1"/>
    <col min="1281" max="1281" width="10.85546875" style="570" customWidth="1"/>
    <col min="1282" max="1282" width="13.42578125" style="570" customWidth="1"/>
    <col min="1283" max="1283" width="15.85546875" style="570" customWidth="1"/>
    <col min="1284" max="1284" width="9.7109375" style="570" bestFit="1" customWidth="1"/>
    <col min="1285" max="1286" width="11.7109375" style="570" customWidth="1"/>
    <col min="1287" max="1287" width="11.5703125" style="570" customWidth="1"/>
    <col min="1288" max="1288" width="12.140625" style="570" customWidth="1"/>
    <col min="1289" max="1290" width="9.140625" style="570"/>
    <col min="1291" max="1291" width="4.42578125" style="570" customWidth="1"/>
    <col min="1292" max="1292" width="14.140625" style="570" customWidth="1"/>
    <col min="1293" max="1535" width="9.140625" style="570"/>
    <col min="1536" max="1536" width="5.28515625" style="570" customWidth="1"/>
    <col min="1537" max="1537" width="10.85546875" style="570" customWidth="1"/>
    <col min="1538" max="1538" width="13.42578125" style="570" customWidth="1"/>
    <col min="1539" max="1539" width="15.85546875" style="570" customWidth="1"/>
    <col min="1540" max="1540" width="9.7109375" style="570" bestFit="1" customWidth="1"/>
    <col min="1541" max="1542" width="11.7109375" style="570" customWidth="1"/>
    <col min="1543" max="1543" width="11.5703125" style="570" customWidth="1"/>
    <col min="1544" max="1544" width="12.140625" style="570" customWidth="1"/>
    <col min="1545" max="1546" width="9.140625" style="570"/>
    <col min="1547" max="1547" width="4.42578125" style="570" customWidth="1"/>
    <col min="1548" max="1548" width="14.140625" style="570" customWidth="1"/>
    <col min="1549" max="1791" width="9.140625" style="570"/>
    <col min="1792" max="1792" width="5.28515625" style="570" customWidth="1"/>
    <col min="1793" max="1793" width="10.85546875" style="570" customWidth="1"/>
    <col min="1794" max="1794" width="13.42578125" style="570" customWidth="1"/>
    <col min="1795" max="1795" width="15.85546875" style="570" customWidth="1"/>
    <col min="1796" max="1796" width="9.7109375" style="570" bestFit="1" customWidth="1"/>
    <col min="1797" max="1798" width="11.7109375" style="570" customWidth="1"/>
    <col min="1799" max="1799" width="11.5703125" style="570" customWidth="1"/>
    <col min="1800" max="1800" width="12.140625" style="570" customWidth="1"/>
    <col min="1801" max="1802" width="9.140625" style="570"/>
    <col min="1803" max="1803" width="4.42578125" style="570" customWidth="1"/>
    <col min="1804" max="1804" width="14.140625" style="570" customWidth="1"/>
    <col min="1805" max="2047" width="9.140625" style="570"/>
    <col min="2048" max="2048" width="5.28515625" style="570" customWidth="1"/>
    <col min="2049" max="2049" width="10.85546875" style="570" customWidth="1"/>
    <col min="2050" max="2050" width="13.42578125" style="570" customWidth="1"/>
    <col min="2051" max="2051" width="15.85546875" style="570" customWidth="1"/>
    <col min="2052" max="2052" width="9.7109375" style="570" bestFit="1" customWidth="1"/>
    <col min="2053" max="2054" width="11.7109375" style="570" customWidth="1"/>
    <col min="2055" max="2055" width="11.5703125" style="570" customWidth="1"/>
    <col min="2056" max="2056" width="12.140625" style="570" customWidth="1"/>
    <col min="2057" max="2058" width="9.140625" style="570"/>
    <col min="2059" max="2059" width="4.42578125" style="570" customWidth="1"/>
    <col min="2060" max="2060" width="14.140625" style="570" customWidth="1"/>
    <col min="2061" max="2303" width="9.140625" style="570"/>
    <col min="2304" max="2304" width="5.28515625" style="570" customWidth="1"/>
    <col min="2305" max="2305" width="10.85546875" style="570" customWidth="1"/>
    <col min="2306" max="2306" width="13.42578125" style="570" customWidth="1"/>
    <col min="2307" max="2307" width="15.85546875" style="570" customWidth="1"/>
    <col min="2308" max="2308" width="9.7109375" style="570" bestFit="1" customWidth="1"/>
    <col min="2309" max="2310" width="11.7109375" style="570" customWidth="1"/>
    <col min="2311" max="2311" width="11.5703125" style="570" customWidth="1"/>
    <col min="2312" max="2312" width="12.140625" style="570" customWidth="1"/>
    <col min="2313" max="2314" width="9.140625" style="570"/>
    <col min="2315" max="2315" width="4.42578125" style="570" customWidth="1"/>
    <col min="2316" max="2316" width="14.140625" style="570" customWidth="1"/>
    <col min="2317" max="2559" width="9.140625" style="570"/>
    <col min="2560" max="2560" width="5.28515625" style="570" customWidth="1"/>
    <col min="2561" max="2561" width="10.85546875" style="570" customWidth="1"/>
    <col min="2562" max="2562" width="13.42578125" style="570" customWidth="1"/>
    <col min="2563" max="2563" width="15.85546875" style="570" customWidth="1"/>
    <col min="2564" max="2564" width="9.7109375" style="570" bestFit="1" customWidth="1"/>
    <col min="2565" max="2566" width="11.7109375" style="570" customWidth="1"/>
    <col min="2567" max="2567" width="11.5703125" style="570" customWidth="1"/>
    <col min="2568" max="2568" width="12.140625" style="570" customWidth="1"/>
    <col min="2569" max="2570" width="9.140625" style="570"/>
    <col min="2571" max="2571" width="4.42578125" style="570" customWidth="1"/>
    <col min="2572" max="2572" width="14.140625" style="570" customWidth="1"/>
    <col min="2573" max="2815" width="9.140625" style="570"/>
    <col min="2816" max="2816" width="5.28515625" style="570" customWidth="1"/>
    <col min="2817" max="2817" width="10.85546875" style="570" customWidth="1"/>
    <col min="2818" max="2818" width="13.42578125" style="570" customWidth="1"/>
    <col min="2819" max="2819" width="15.85546875" style="570" customWidth="1"/>
    <col min="2820" max="2820" width="9.7109375" style="570" bestFit="1" customWidth="1"/>
    <col min="2821" max="2822" width="11.7109375" style="570" customWidth="1"/>
    <col min="2823" max="2823" width="11.5703125" style="570" customWidth="1"/>
    <col min="2824" max="2824" width="12.140625" style="570" customWidth="1"/>
    <col min="2825" max="2826" width="9.140625" style="570"/>
    <col min="2827" max="2827" width="4.42578125" style="570" customWidth="1"/>
    <col min="2828" max="2828" width="14.140625" style="570" customWidth="1"/>
    <col min="2829" max="3071" width="9.140625" style="570"/>
    <col min="3072" max="3072" width="5.28515625" style="570" customWidth="1"/>
    <col min="3073" max="3073" width="10.85546875" style="570" customWidth="1"/>
    <col min="3074" max="3074" width="13.42578125" style="570" customWidth="1"/>
    <col min="3075" max="3075" width="15.85546875" style="570" customWidth="1"/>
    <col min="3076" max="3076" width="9.7109375" style="570" bestFit="1" customWidth="1"/>
    <col min="3077" max="3078" width="11.7109375" style="570" customWidth="1"/>
    <col min="3079" max="3079" width="11.5703125" style="570" customWidth="1"/>
    <col min="3080" max="3080" width="12.140625" style="570" customWidth="1"/>
    <col min="3081" max="3082" width="9.140625" style="570"/>
    <col min="3083" max="3083" width="4.42578125" style="570" customWidth="1"/>
    <col min="3084" max="3084" width="14.140625" style="570" customWidth="1"/>
    <col min="3085" max="3327" width="9.140625" style="570"/>
    <col min="3328" max="3328" width="5.28515625" style="570" customWidth="1"/>
    <col min="3329" max="3329" width="10.85546875" style="570" customWidth="1"/>
    <col min="3330" max="3330" width="13.42578125" style="570" customWidth="1"/>
    <col min="3331" max="3331" width="15.85546875" style="570" customWidth="1"/>
    <col min="3332" max="3332" width="9.7109375" style="570" bestFit="1" customWidth="1"/>
    <col min="3333" max="3334" width="11.7109375" style="570" customWidth="1"/>
    <col min="3335" max="3335" width="11.5703125" style="570" customWidth="1"/>
    <col min="3336" max="3336" width="12.140625" style="570" customWidth="1"/>
    <col min="3337" max="3338" width="9.140625" style="570"/>
    <col min="3339" max="3339" width="4.42578125" style="570" customWidth="1"/>
    <col min="3340" max="3340" width="14.140625" style="570" customWidth="1"/>
    <col min="3341" max="3583" width="9.140625" style="570"/>
    <col min="3584" max="3584" width="5.28515625" style="570" customWidth="1"/>
    <col min="3585" max="3585" width="10.85546875" style="570" customWidth="1"/>
    <col min="3586" max="3586" width="13.42578125" style="570" customWidth="1"/>
    <col min="3587" max="3587" width="15.85546875" style="570" customWidth="1"/>
    <col min="3588" max="3588" width="9.7109375" style="570" bestFit="1" customWidth="1"/>
    <col min="3589" max="3590" width="11.7109375" style="570" customWidth="1"/>
    <col min="3591" max="3591" width="11.5703125" style="570" customWidth="1"/>
    <col min="3592" max="3592" width="12.140625" style="570" customWidth="1"/>
    <col min="3593" max="3594" width="9.140625" style="570"/>
    <col min="3595" max="3595" width="4.42578125" style="570" customWidth="1"/>
    <col min="3596" max="3596" width="14.140625" style="570" customWidth="1"/>
    <col min="3597" max="3839" width="9.140625" style="570"/>
    <col min="3840" max="3840" width="5.28515625" style="570" customWidth="1"/>
    <col min="3841" max="3841" width="10.85546875" style="570" customWidth="1"/>
    <col min="3842" max="3842" width="13.42578125" style="570" customWidth="1"/>
    <col min="3843" max="3843" width="15.85546875" style="570" customWidth="1"/>
    <col min="3844" max="3844" width="9.7109375" style="570" bestFit="1" customWidth="1"/>
    <col min="3845" max="3846" width="11.7109375" style="570" customWidth="1"/>
    <col min="3847" max="3847" width="11.5703125" style="570" customWidth="1"/>
    <col min="3848" max="3848" width="12.140625" style="570" customWidth="1"/>
    <col min="3849" max="3850" width="9.140625" style="570"/>
    <col min="3851" max="3851" width="4.42578125" style="570" customWidth="1"/>
    <col min="3852" max="3852" width="14.140625" style="570" customWidth="1"/>
    <col min="3853" max="4095" width="9.140625" style="570"/>
    <col min="4096" max="4096" width="5.28515625" style="570" customWidth="1"/>
    <col min="4097" max="4097" width="10.85546875" style="570" customWidth="1"/>
    <col min="4098" max="4098" width="13.42578125" style="570" customWidth="1"/>
    <col min="4099" max="4099" width="15.85546875" style="570" customWidth="1"/>
    <col min="4100" max="4100" width="9.7109375" style="570" bestFit="1" customWidth="1"/>
    <col min="4101" max="4102" width="11.7109375" style="570" customWidth="1"/>
    <col min="4103" max="4103" width="11.5703125" style="570" customWidth="1"/>
    <col min="4104" max="4104" width="12.140625" style="570" customWidth="1"/>
    <col min="4105" max="4106" width="9.140625" style="570"/>
    <col min="4107" max="4107" width="4.42578125" style="570" customWidth="1"/>
    <col min="4108" max="4108" width="14.140625" style="570" customWidth="1"/>
    <col min="4109" max="4351" width="9.140625" style="570"/>
    <col min="4352" max="4352" width="5.28515625" style="570" customWidth="1"/>
    <col min="4353" max="4353" width="10.85546875" style="570" customWidth="1"/>
    <col min="4354" max="4354" width="13.42578125" style="570" customWidth="1"/>
    <col min="4355" max="4355" width="15.85546875" style="570" customWidth="1"/>
    <col min="4356" max="4356" width="9.7109375" style="570" bestFit="1" customWidth="1"/>
    <col min="4357" max="4358" width="11.7109375" style="570" customWidth="1"/>
    <col min="4359" max="4359" width="11.5703125" style="570" customWidth="1"/>
    <col min="4360" max="4360" width="12.140625" style="570" customWidth="1"/>
    <col min="4361" max="4362" width="9.140625" style="570"/>
    <col min="4363" max="4363" width="4.42578125" style="570" customWidth="1"/>
    <col min="4364" max="4364" width="14.140625" style="570" customWidth="1"/>
    <col min="4365" max="4607" width="9.140625" style="570"/>
    <col min="4608" max="4608" width="5.28515625" style="570" customWidth="1"/>
    <col min="4609" max="4609" width="10.85546875" style="570" customWidth="1"/>
    <col min="4610" max="4610" width="13.42578125" style="570" customWidth="1"/>
    <col min="4611" max="4611" width="15.85546875" style="570" customWidth="1"/>
    <col min="4612" max="4612" width="9.7109375" style="570" bestFit="1" customWidth="1"/>
    <col min="4613" max="4614" width="11.7109375" style="570" customWidth="1"/>
    <col min="4615" max="4615" width="11.5703125" style="570" customWidth="1"/>
    <col min="4616" max="4616" width="12.140625" style="570" customWidth="1"/>
    <col min="4617" max="4618" width="9.140625" style="570"/>
    <col min="4619" max="4619" width="4.42578125" style="570" customWidth="1"/>
    <col min="4620" max="4620" width="14.140625" style="570" customWidth="1"/>
    <col min="4621" max="4863" width="9.140625" style="570"/>
    <col min="4864" max="4864" width="5.28515625" style="570" customWidth="1"/>
    <col min="4865" max="4865" width="10.85546875" style="570" customWidth="1"/>
    <col min="4866" max="4866" width="13.42578125" style="570" customWidth="1"/>
    <col min="4867" max="4867" width="15.85546875" style="570" customWidth="1"/>
    <col min="4868" max="4868" width="9.7109375" style="570" bestFit="1" customWidth="1"/>
    <col min="4869" max="4870" width="11.7109375" style="570" customWidth="1"/>
    <col min="4871" max="4871" width="11.5703125" style="570" customWidth="1"/>
    <col min="4872" max="4872" width="12.140625" style="570" customWidth="1"/>
    <col min="4873" max="4874" width="9.140625" style="570"/>
    <col min="4875" max="4875" width="4.42578125" style="570" customWidth="1"/>
    <col min="4876" max="4876" width="14.140625" style="570" customWidth="1"/>
    <col min="4877" max="5119" width="9.140625" style="570"/>
    <col min="5120" max="5120" width="5.28515625" style="570" customWidth="1"/>
    <col min="5121" max="5121" width="10.85546875" style="570" customWidth="1"/>
    <col min="5122" max="5122" width="13.42578125" style="570" customWidth="1"/>
    <col min="5123" max="5123" width="15.85546875" style="570" customWidth="1"/>
    <col min="5124" max="5124" width="9.7109375" style="570" bestFit="1" customWidth="1"/>
    <col min="5125" max="5126" width="11.7109375" style="570" customWidth="1"/>
    <col min="5127" max="5127" width="11.5703125" style="570" customWidth="1"/>
    <col min="5128" max="5128" width="12.140625" style="570" customWidth="1"/>
    <col min="5129" max="5130" width="9.140625" style="570"/>
    <col min="5131" max="5131" width="4.42578125" style="570" customWidth="1"/>
    <col min="5132" max="5132" width="14.140625" style="570" customWidth="1"/>
    <col min="5133" max="5375" width="9.140625" style="570"/>
    <col min="5376" max="5376" width="5.28515625" style="570" customWidth="1"/>
    <col min="5377" max="5377" width="10.85546875" style="570" customWidth="1"/>
    <col min="5378" max="5378" width="13.42578125" style="570" customWidth="1"/>
    <col min="5379" max="5379" width="15.85546875" style="570" customWidth="1"/>
    <col min="5380" max="5380" width="9.7109375" style="570" bestFit="1" customWidth="1"/>
    <col min="5381" max="5382" width="11.7109375" style="570" customWidth="1"/>
    <col min="5383" max="5383" width="11.5703125" style="570" customWidth="1"/>
    <col min="5384" max="5384" width="12.140625" style="570" customWidth="1"/>
    <col min="5385" max="5386" width="9.140625" style="570"/>
    <col min="5387" max="5387" width="4.42578125" style="570" customWidth="1"/>
    <col min="5388" max="5388" width="14.140625" style="570" customWidth="1"/>
    <col min="5389" max="5631" width="9.140625" style="570"/>
    <col min="5632" max="5632" width="5.28515625" style="570" customWidth="1"/>
    <col min="5633" max="5633" width="10.85546875" style="570" customWidth="1"/>
    <col min="5634" max="5634" width="13.42578125" style="570" customWidth="1"/>
    <col min="5635" max="5635" width="15.85546875" style="570" customWidth="1"/>
    <col min="5636" max="5636" width="9.7109375" style="570" bestFit="1" customWidth="1"/>
    <col min="5637" max="5638" width="11.7109375" style="570" customWidth="1"/>
    <col min="5639" max="5639" width="11.5703125" style="570" customWidth="1"/>
    <col min="5640" max="5640" width="12.140625" style="570" customWidth="1"/>
    <col min="5641" max="5642" width="9.140625" style="570"/>
    <col min="5643" max="5643" width="4.42578125" style="570" customWidth="1"/>
    <col min="5644" max="5644" width="14.140625" style="570" customWidth="1"/>
    <col min="5645" max="5887" width="9.140625" style="570"/>
    <col min="5888" max="5888" width="5.28515625" style="570" customWidth="1"/>
    <col min="5889" max="5889" width="10.85546875" style="570" customWidth="1"/>
    <col min="5890" max="5890" width="13.42578125" style="570" customWidth="1"/>
    <col min="5891" max="5891" width="15.85546875" style="570" customWidth="1"/>
    <col min="5892" max="5892" width="9.7109375" style="570" bestFit="1" customWidth="1"/>
    <col min="5893" max="5894" width="11.7109375" style="570" customWidth="1"/>
    <col min="5895" max="5895" width="11.5703125" style="570" customWidth="1"/>
    <col min="5896" max="5896" width="12.140625" style="570" customWidth="1"/>
    <col min="5897" max="5898" width="9.140625" style="570"/>
    <col min="5899" max="5899" width="4.42578125" style="570" customWidth="1"/>
    <col min="5900" max="5900" width="14.140625" style="570" customWidth="1"/>
    <col min="5901" max="6143" width="9.140625" style="570"/>
    <col min="6144" max="6144" width="5.28515625" style="570" customWidth="1"/>
    <col min="6145" max="6145" width="10.85546875" style="570" customWidth="1"/>
    <col min="6146" max="6146" width="13.42578125" style="570" customWidth="1"/>
    <col min="6147" max="6147" width="15.85546875" style="570" customWidth="1"/>
    <col min="6148" max="6148" width="9.7109375" style="570" bestFit="1" customWidth="1"/>
    <col min="6149" max="6150" width="11.7109375" style="570" customWidth="1"/>
    <col min="6151" max="6151" width="11.5703125" style="570" customWidth="1"/>
    <col min="6152" max="6152" width="12.140625" style="570" customWidth="1"/>
    <col min="6153" max="6154" width="9.140625" style="570"/>
    <col min="6155" max="6155" width="4.42578125" style="570" customWidth="1"/>
    <col min="6156" max="6156" width="14.140625" style="570" customWidth="1"/>
    <col min="6157" max="6399" width="9.140625" style="570"/>
    <col min="6400" max="6400" width="5.28515625" style="570" customWidth="1"/>
    <col min="6401" max="6401" width="10.85546875" style="570" customWidth="1"/>
    <col min="6402" max="6402" width="13.42578125" style="570" customWidth="1"/>
    <col min="6403" max="6403" width="15.85546875" style="570" customWidth="1"/>
    <col min="6404" max="6404" width="9.7109375" style="570" bestFit="1" customWidth="1"/>
    <col min="6405" max="6406" width="11.7109375" style="570" customWidth="1"/>
    <col min="6407" max="6407" width="11.5703125" style="570" customWidth="1"/>
    <col min="6408" max="6408" width="12.140625" style="570" customWidth="1"/>
    <col min="6409" max="6410" width="9.140625" style="570"/>
    <col min="6411" max="6411" width="4.42578125" style="570" customWidth="1"/>
    <col min="6412" max="6412" width="14.140625" style="570" customWidth="1"/>
    <col min="6413" max="6655" width="9.140625" style="570"/>
    <col min="6656" max="6656" width="5.28515625" style="570" customWidth="1"/>
    <col min="6657" max="6657" width="10.85546875" style="570" customWidth="1"/>
    <col min="6658" max="6658" width="13.42578125" style="570" customWidth="1"/>
    <col min="6659" max="6659" width="15.85546875" style="570" customWidth="1"/>
    <col min="6660" max="6660" width="9.7109375" style="570" bestFit="1" customWidth="1"/>
    <col min="6661" max="6662" width="11.7109375" style="570" customWidth="1"/>
    <col min="6663" max="6663" width="11.5703125" style="570" customWidth="1"/>
    <col min="6664" max="6664" width="12.140625" style="570" customWidth="1"/>
    <col min="6665" max="6666" width="9.140625" style="570"/>
    <col min="6667" max="6667" width="4.42578125" style="570" customWidth="1"/>
    <col min="6668" max="6668" width="14.140625" style="570" customWidth="1"/>
    <col min="6669" max="6911" width="9.140625" style="570"/>
    <col min="6912" max="6912" width="5.28515625" style="570" customWidth="1"/>
    <col min="6913" max="6913" width="10.85546875" style="570" customWidth="1"/>
    <col min="6914" max="6914" width="13.42578125" style="570" customWidth="1"/>
    <col min="6915" max="6915" width="15.85546875" style="570" customWidth="1"/>
    <col min="6916" max="6916" width="9.7109375" style="570" bestFit="1" customWidth="1"/>
    <col min="6917" max="6918" width="11.7109375" style="570" customWidth="1"/>
    <col min="6919" max="6919" width="11.5703125" style="570" customWidth="1"/>
    <col min="6920" max="6920" width="12.140625" style="570" customWidth="1"/>
    <col min="6921" max="6922" width="9.140625" style="570"/>
    <col min="6923" max="6923" width="4.42578125" style="570" customWidth="1"/>
    <col min="6924" max="6924" width="14.140625" style="570" customWidth="1"/>
    <col min="6925" max="7167" width="9.140625" style="570"/>
    <col min="7168" max="7168" width="5.28515625" style="570" customWidth="1"/>
    <col min="7169" max="7169" width="10.85546875" style="570" customWidth="1"/>
    <col min="7170" max="7170" width="13.42578125" style="570" customWidth="1"/>
    <col min="7171" max="7171" width="15.85546875" style="570" customWidth="1"/>
    <col min="7172" max="7172" width="9.7109375" style="570" bestFit="1" customWidth="1"/>
    <col min="7173" max="7174" width="11.7109375" style="570" customWidth="1"/>
    <col min="7175" max="7175" width="11.5703125" style="570" customWidth="1"/>
    <col min="7176" max="7176" width="12.140625" style="570" customWidth="1"/>
    <col min="7177" max="7178" width="9.140625" style="570"/>
    <col min="7179" max="7179" width="4.42578125" style="570" customWidth="1"/>
    <col min="7180" max="7180" width="14.140625" style="570" customWidth="1"/>
    <col min="7181" max="7423" width="9.140625" style="570"/>
    <col min="7424" max="7424" width="5.28515625" style="570" customWidth="1"/>
    <col min="7425" max="7425" width="10.85546875" style="570" customWidth="1"/>
    <col min="7426" max="7426" width="13.42578125" style="570" customWidth="1"/>
    <col min="7427" max="7427" width="15.85546875" style="570" customWidth="1"/>
    <col min="7428" max="7428" width="9.7109375" style="570" bestFit="1" customWidth="1"/>
    <col min="7429" max="7430" width="11.7109375" style="570" customWidth="1"/>
    <col min="7431" max="7431" width="11.5703125" style="570" customWidth="1"/>
    <col min="7432" max="7432" width="12.140625" style="570" customWidth="1"/>
    <col min="7433" max="7434" width="9.140625" style="570"/>
    <col min="7435" max="7435" width="4.42578125" style="570" customWidth="1"/>
    <col min="7436" max="7436" width="14.140625" style="570" customWidth="1"/>
    <col min="7437" max="7679" width="9.140625" style="570"/>
    <col min="7680" max="7680" width="5.28515625" style="570" customWidth="1"/>
    <col min="7681" max="7681" width="10.85546875" style="570" customWidth="1"/>
    <col min="7682" max="7682" width="13.42578125" style="570" customWidth="1"/>
    <col min="7683" max="7683" width="15.85546875" style="570" customWidth="1"/>
    <col min="7684" max="7684" width="9.7109375" style="570" bestFit="1" customWidth="1"/>
    <col min="7685" max="7686" width="11.7109375" style="570" customWidth="1"/>
    <col min="7687" max="7687" width="11.5703125" style="570" customWidth="1"/>
    <col min="7688" max="7688" width="12.140625" style="570" customWidth="1"/>
    <col min="7689" max="7690" width="9.140625" style="570"/>
    <col min="7691" max="7691" width="4.42578125" style="570" customWidth="1"/>
    <col min="7692" max="7692" width="14.140625" style="570" customWidth="1"/>
    <col min="7693" max="7935" width="9.140625" style="570"/>
    <col min="7936" max="7936" width="5.28515625" style="570" customWidth="1"/>
    <col min="7937" max="7937" width="10.85546875" style="570" customWidth="1"/>
    <col min="7938" max="7938" width="13.42578125" style="570" customWidth="1"/>
    <col min="7939" max="7939" width="15.85546875" style="570" customWidth="1"/>
    <col min="7940" max="7940" width="9.7109375" style="570" bestFit="1" customWidth="1"/>
    <col min="7941" max="7942" width="11.7109375" style="570" customWidth="1"/>
    <col min="7943" max="7943" width="11.5703125" style="570" customWidth="1"/>
    <col min="7944" max="7944" width="12.140625" style="570" customWidth="1"/>
    <col min="7945" max="7946" width="9.140625" style="570"/>
    <col min="7947" max="7947" width="4.42578125" style="570" customWidth="1"/>
    <col min="7948" max="7948" width="14.140625" style="570" customWidth="1"/>
    <col min="7949" max="8191" width="9.140625" style="570"/>
    <col min="8192" max="8192" width="5.28515625" style="570" customWidth="1"/>
    <col min="8193" max="8193" width="10.85546875" style="570" customWidth="1"/>
    <col min="8194" max="8194" width="13.42578125" style="570" customWidth="1"/>
    <col min="8195" max="8195" width="15.85546875" style="570" customWidth="1"/>
    <col min="8196" max="8196" width="9.7109375" style="570" bestFit="1" customWidth="1"/>
    <col min="8197" max="8198" width="11.7109375" style="570" customWidth="1"/>
    <col min="8199" max="8199" width="11.5703125" style="570" customWidth="1"/>
    <col min="8200" max="8200" width="12.140625" style="570" customWidth="1"/>
    <col min="8201" max="8202" width="9.140625" style="570"/>
    <col min="8203" max="8203" width="4.42578125" style="570" customWidth="1"/>
    <col min="8204" max="8204" width="14.140625" style="570" customWidth="1"/>
    <col min="8205" max="8447" width="9.140625" style="570"/>
    <col min="8448" max="8448" width="5.28515625" style="570" customWidth="1"/>
    <col min="8449" max="8449" width="10.85546875" style="570" customWidth="1"/>
    <col min="8450" max="8450" width="13.42578125" style="570" customWidth="1"/>
    <col min="8451" max="8451" width="15.85546875" style="570" customWidth="1"/>
    <col min="8452" max="8452" width="9.7109375" style="570" bestFit="1" customWidth="1"/>
    <col min="8453" max="8454" width="11.7109375" style="570" customWidth="1"/>
    <col min="8455" max="8455" width="11.5703125" style="570" customWidth="1"/>
    <col min="8456" max="8456" width="12.140625" style="570" customWidth="1"/>
    <col min="8457" max="8458" width="9.140625" style="570"/>
    <col min="8459" max="8459" width="4.42578125" style="570" customWidth="1"/>
    <col min="8460" max="8460" width="14.140625" style="570" customWidth="1"/>
    <col min="8461" max="8703" width="9.140625" style="570"/>
    <col min="8704" max="8704" width="5.28515625" style="570" customWidth="1"/>
    <col min="8705" max="8705" width="10.85546875" style="570" customWidth="1"/>
    <col min="8706" max="8706" width="13.42578125" style="570" customWidth="1"/>
    <col min="8707" max="8707" width="15.85546875" style="570" customWidth="1"/>
    <col min="8708" max="8708" width="9.7109375" style="570" bestFit="1" customWidth="1"/>
    <col min="8709" max="8710" width="11.7109375" style="570" customWidth="1"/>
    <col min="8711" max="8711" width="11.5703125" style="570" customWidth="1"/>
    <col min="8712" max="8712" width="12.140625" style="570" customWidth="1"/>
    <col min="8713" max="8714" width="9.140625" style="570"/>
    <col min="8715" max="8715" width="4.42578125" style="570" customWidth="1"/>
    <col min="8716" max="8716" width="14.140625" style="570" customWidth="1"/>
    <col min="8717" max="8959" width="9.140625" style="570"/>
    <col min="8960" max="8960" width="5.28515625" style="570" customWidth="1"/>
    <col min="8961" max="8961" width="10.85546875" style="570" customWidth="1"/>
    <col min="8962" max="8962" width="13.42578125" style="570" customWidth="1"/>
    <col min="8963" max="8963" width="15.85546875" style="570" customWidth="1"/>
    <col min="8964" max="8964" width="9.7109375" style="570" bestFit="1" customWidth="1"/>
    <col min="8965" max="8966" width="11.7109375" style="570" customWidth="1"/>
    <col min="8967" max="8967" width="11.5703125" style="570" customWidth="1"/>
    <col min="8968" max="8968" width="12.140625" style="570" customWidth="1"/>
    <col min="8969" max="8970" width="9.140625" style="570"/>
    <col min="8971" max="8971" width="4.42578125" style="570" customWidth="1"/>
    <col min="8972" max="8972" width="14.140625" style="570" customWidth="1"/>
    <col min="8973" max="9215" width="9.140625" style="570"/>
    <col min="9216" max="9216" width="5.28515625" style="570" customWidth="1"/>
    <col min="9217" max="9217" width="10.85546875" style="570" customWidth="1"/>
    <col min="9218" max="9218" width="13.42578125" style="570" customWidth="1"/>
    <col min="9219" max="9219" width="15.85546875" style="570" customWidth="1"/>
    <col min="9220" max="9220" width="9.7109375" style="570" bestFit="1" customWidth="1"/>
    <col min="9221" max="9222" width="11.7109375" style="570" customWidth="1"/>
    <col min="9223" max="9223" width="11.5703125" style="570" customWidth="1"/>
    <col min="9224" max="9224" width="12.140625" style="570" customWidth="1"/>
    <col min="9225" max="9226" width="9.140625" style="570"/>
    <col min="9227" max="9227" width="4.42578125" style="570" customWidth="1"/>
    <col min="9228" max="9228" width="14.140625" style="570" customWidth="1"/>
    <col min="9229" max="9471" width="9.140625" style="570"/>
    <col min="9472" max="9472" width="5.28515625" style="570" customWidth="1"/>
    <col min="9473" max="9473" width="10.85546875" style="570" customWidth="1"/>
    <col min="9474" max="9474" width="13.42578125" style="570" customWidth="1"/>
    <col min="9475" max="9475" width="15.85546875" style="570" customWidth="1"/>
    <col min="9476" max="9476" width="9.7109375" style="570" bestFit="1" customWidth="1"/>
    <col min="9477" max="9478" width="11.7109375" style="570" customWidth="1"/>
    <col min="9479" max="9479" width="11.5703125" style="570" customWidth="1"/>
    <col min="9480" max="9480" width="12.140625" style="570" customWidth="1"/>
    <col min="9481" max="9482" width="9.140625" style="570"/>
    <col min="9483" max="9483" width="4.42578125" style="570" customWidth="1"/>
    <col min="9484" max="9484" width="14.140625" style="570" customWidth="1"/>
    <col min="9485" max="9727" width="9.140625" style="570"/>
    <col min="9728" max="9728" width="5.28515625" style="570" customWidth="1"/>
    <col min="9729" max="9729" width="10.85546875" style="570" customWidth="1"/>
    <col min="9730" max="9730" width="13.42578125" style="570" customWidth="1"/>
    <col min="9731" max="9731" width="15.85546875" style="570" customWidth="1"/>
    <col min="9732" max="9732" width="9.7109375" style="570" bestFit="1" customWidth="1"/>
    <col min="9733" max="9734" width="11.7109375" style="570" customWidth="1"/>
    <col min="9735" max="9735" width="11.5703125" style="570" customWidth="1"/>
    <col min="9736" max="9736" width="12.140625" style="570" customWidth="1"/>
    <col min="9737" max="9738" width="9.140625" style="570"/>
    <col min="9739" max="9739" width="4.42578125" style="570" customWidth="1"/>
    <col min="9740" max="9740" width="14.140625" style="570" customWidth="1"/>
    <col min="9741" max="9983" width="9.140625" style="570"/>
    <col min="9984" max="9984" width="5.28515625" style="570" customWidth="1"/>
    <col min="9985" max="9985" width="10.85546875" style="570" customWidth="1"/>
    <col min="9986" max="9986" width="13.42578125" style="570" customWidth="1"/>
    <col min="9987" max="9987" width="15.85546875" style="570" customWidth="1"/>
    <col min="9988" max="9988" width="9.7109375" style="570" bestFit="1" customWidth="1"/>
    <col min="9989" max="9990" width="11.7109375" style="570" customWidth="1"/>
    <col min="9991" max="9991" width="11.5703125" style="570" customWidth="1"/>
    <col min="9992" max="9992" width="12.140625" style="570" customWidth="1"/>
    <col min="9993" max="9994" width="9.140625" style="570"/>
    <col min="9995" max="9995" width="4.42578125" style="570" customWidth="1"/>
    <col min="9996" max="9996" width="14.140625" style="570" customWidth="1"/>
    <col min="9997" max="10239" width="9.140625" style="570"/>
    <col min="10240" max="10240" width="5.28515625" style="570" customWidth="1"/>
    <col min="10241" max="10241" width="10.85546875" style="570" customWidth="1"/>
    <col min="10242" max="10242" width="13.42578125" style="570" customWidth="1"/>
    <col min="10243" max="10243" width="15.85546875" style="570" customWidth="1"/>
    <col min="10244" max="10244" width="9.7109375" style="570" bestFit="1" customWidth="1"/>
    <col min="10245" max="10246" width="11.7109375" style="570" customWidth="1"/>
    <col min="10247" max="10247" width="11.5703125" style="570" customWidth="1"/>
    <col min="10248" max="10248" width="12.140625" style="570" customWidth="1"/>
    <col min="10249" max="10250" width="9.140625" style="570"/>
    <col min="10251" max="10251" width="4.42578125" style="570" customWidth="1"/>
    <col min="10252" max="10252" width="14.140625" style="570" customWidth="1"/>
    <col min="10253" max="10495" width="9.140625" style="570"/>
    <col min="10496" max="10496" width="5.28515625" style="570" customWidth="1"/>
    <col min="10497" max="10497" width="10.85546875" style="570" customWidth="1"/>
    <col min="10498" max="10498" width="13.42578125" style="570" customWidth="1"/>
    <col min="10499" max="10499" width="15.85546875" style="570" customWidth="1"/>
    <col min="10500" max="10500" width="9.7109375" style="570" bestFit="1" customWidth="1"/>
    <col min="10501" max="10502" width="11.7109375" style="570" customWidth="1"/>
    <col min="10503" max="10503" width="11.5703125" style="570" customWidth="1"/>
    <col min="10504" max="10504" width="12.140625" style="570" customWidth="1"/>
    <col min="10505" max="10506" width="9.140625" style="570"/>
    <col min="10507" max="10507" width="4.42578125" style="570" customWidth="1"/>
    <col min="10508" max="10508" width="14.140625" style="570" customWidth="1"/>
    <col min="10509" max="10751" width="9.140625" style="570"/>
    <col min="10752" max="10752" width="5.28515625" style="570" customWidth="1"/>
    <col min="10753" max="10753" width="10.85546875" style="570" customWidth="1"/>
    <col min="10754" max="10754" width="13.42578125" style="570" customWidth="1"/>
    <col min="10755" max="10755" width="15.85546875" style="570" customWidth="1"/>
    <col min="10756" max="10756" width="9.7109375" style="570" bestFit="1" customWidth="1"/>
    <col min="10757" max="10758" width="11.7109375" style="570" customWidth="1"/>
    <col min="10759" max="10759" width="11.5703125" style="570" customWidth="1"/>
    <col min="10760" max="10760" width="12.140625" style="570" customWidth="1"/>
    <col min="10761" max="10762" width="9.140625" style="570"/>
    <col min="10763" max="10763" width="4.42578125" style="570" customWidth="1"/>
    <col min="10764" max="10764" width="14.140625" style="570" customWidth="1"/>
    <col min="10765" max="11007" width="9.140625" style="570"/>
    <col min="11008" max="11008" width="5.28515625" style="570" customWidth="1"/>
    <col min="11009" max="11009" width="10.85546875" style="570" customWidth="1"/>
    <col min="11010" max="11010" width="13.42578125" style="570" customWidth="1"/>
    <col min="11011" max="11011" width="15.85546875" style="570" customWidth="1"/>
    <col min="11012" max="11012" width="9.7109375" style="570" bestFit="1" customWidth="1"/>
    <col min="11013" max="11014" width="11.7109375" style="570" customWidth="1"/>
    <col min="11015" max="11015" width="11.5703125" style="570" customWidth="1"/>
    <col min="11016" max="11016" width="12.140625" style="570" customWidth="1"/>
    <col min="11017" max="11018" width="9.140625" style="570"/>
    <col min="11019" max="11019" width="4.42578125" style="570" customWidth="1"/>
    <col min="11020" max="11020" width="14.140625" style="570" customWidth="1"/>
    <col min="11021" max="11263" width="9.140625" style="570"/>
    <col min="11264" max="11264" width="5.28515625" style="570" customWidth="1"/>
    <col min="11265" max="11265" width="10.85546875" style="570" customWidth="1"/>
    <col min="11266" max="11266" width="13.42578125" style="570" customWidth="1"/>
    <col min="11267" max="11267" width="15.85546875" style="570" customWidth="1"/>
    <col min="11268" max="11268" width="9.7109375" style="570" bestFit="1" customWidth="1"/>
    <col min="11269" max="11270" width="11.7109375" style="570" customWidth="1"/>
    <col min="11271" max="11271" width="11.5703125" style="570" customWidth="1"/>
    <col min="11272" max="11272" width="12.140625" style="570" customWidth="1"/>
    <col min="11273" max="11274" width="9.140625" style="570"/>
    <col min="11275" max="11275" width="4.42578125" style="570" customWidth="1"/>
    <col min="11276" max="11276" width="14.140625" style="570" customWidth="1"/>
    <col min="11277" max="11519" width="9.140625" style="570"/>
    <col min="11520" max="11520" width="5.28515625" style="570" customWidth="1"/>
    <col min="11521" max="11521" width="10.85546875" style="570" customWidth="1"/>
    <col min="11522" max="11522" width="13.42578125" style="570" customWidth="1"/>
    <col min="11523" max="11523" width="15.85546875" style="570" customWidth="1"/>
    <col min="11524" max="11524" width="9.7109375" style="570" bestFit="1" customWidth="1"/>
    <col min="11525" max="11526" width="11.7109375" style="570" customWidth="1"/>
    <col min="11527" max="11527" width="11.5703125" style="570" customWidth="1"/>
    <col min="11528" max="11528" width="12.140625" style="570" customWidth="1"/>
    <col min="11529" max="11530" width="9.140625" style="570"/>
    <col min="11531" max="11531" width="4.42578125" style="570" customWidth="1"/>
    <col min="11532" max="11532" width="14.140625" style="570" customWidth="1"/>
    <col min="11533" max="11775" width="9.140625" style="570"/>
    <col min="11776" max="11776" width="5.28515625" style="570" customWidth="1"/>
    <col min="11777" max="11777" width="10.85546875" style="570" customWidth="1"/>
    <col min="11778" max="11778" width="13.42578125" style="570" customWidth="1"/>
    <col min="11779" max="11779" width="15.85546875" style="570" customWidth="1"/>
    <col min="11780" max="11780" width="9.7109375" style="570" bestFit="1" customWidth="1"/>
    <col min="11781" max="11782" width="11.7109375" style="570" customWidth="1"/>
    <col min="11783" max="11783" width="11.5703125" style="570" customWidth="1"/>
    <col min="11784" max="11784" width="12.140625" style="570" customWidth="1"/>
    <col min="11785" max="11786" width="9.140625" style="570"/>
    <col min="11787" max="11787" width="4.42578125" style="570" customWidth="1"/>
    <col min="11788" max="11788" width="14.140625" style="570" customWidth="1"/>
    <col min="11789" max="12031" width="9.140625" style="570"/>
    <col min="12032" max="12032" width="5.28515625" style="570" customWidth="1"/>
    <col min="12033" max="12033" width="10.85546875" style="570" customWidth="1"/>
    <col min="12034" max="12034" width="13.42578125" style="570" customWidth="1"/>
    <col min="12035" max="12035" width="15.85546875" style="570" customWidth="1"/>
    <col min="12036" max="12036" width="9.7109375" style="570" bestFit="1" customWidth="1"/>
    <col min="12037" max="12038" width="11.7109375" style="570" customWidth="1"/>
    <col min="12039" max="12039" width="11.5703125" style="570" customWidth="1"/>
    <col min="12040" max="12040" width="12.140625" style="570" customWidth="1"/>
    <col min="12041" max="12042" width="9.140625" style="570"/>
    <col min="12043" max="12043" width="4.42578125" style="570" customWidth="1"/>
    <col min="12044" max="12044" width="14.140625" style="570" customWidth="1"/>
    <col min="12045" max="12287" width="9.140625" style="570"/>
    <col min="12288" max="12288" width="5.28515625" style="570" customWidth="1"/>
    <col min="12289" max="12289" width="10.85546875" style="570" customWidth="1"/>
    <col min="12290" max="12290" width="13.42578125" style="570" customWidth="1"/>
    <col min="12291" max="12291" width="15.85546875" style="570" customWidth="1"/>
    <col min="12292" max="12292" width="9.7109375" style="570" bestFit="1" customWidth="1"/>
    <col min="12293" max="12294" width="11.7109375" style="570" customWidth="1"/>
    <col min="12295" max="12295" width="11.5703125" style="570" customWidth="1"/>
    <col min="12296" max="12296" width="12.140625" style="570" customWidth="1"/>
    <col min="12297" max="12298" width="9.140625" style="570"/>
    <col min="12299" max="12299" width="4.42578125" style="570" customWidth="1"/>
    <col min="12300" max="12300" width="14.140625" style="570" customWidth="1"/>
    <col min="12301" max="12543" width="9.140625" style="570"/>
    <col min="12544" max="12544" width="5.28515625" style="570" customWidth="1"/>
    <col min="12545" max="12545" width="10.85546875" style="570" customWidth="1"/>
    <col min="12546" max="12546" width="13.42578125" style="570" customWidth="1"/>
    <col min="12547" max="12547" width="15.85546875" style="570" customWidth="1"/>
    <col min="12548" max="12548" width="9.7109375" style="570" bestFit="1" customWidth="1"/>
    <col min="12549" max="12550" width="11.7109375" style="570" customWidth="1"/>
    <col min="12551" max="12551" width="11.5703125" style="570" customWidth="1"/>
    <col min="12552" max="12552" width="12.140625" style="570" customWidth="1"/>
    <col min="12553" max="12554" width="9.140625" style="570"/>
    <col min="12555" max="12555" width="4.42578125" style="570" customWidth="1"/>
    <col min="12556" max="12556" width="14.140625" style="570" customWidth="1"/>
    <col min="12557" max="12799" width="9.140625" style="570"/>
    <col min="12800" max="12800" width="5.28515625" style="570" customWidth="1"/>
    <col min="12801" max="12801" width="10.85546875" style="570" customWidth="1"/>
    <col min="12802" max="12802" width="13.42578125" style="570" customWidth="1"/>
    <col min="12803" max="12803" width="15.85546875" style="570" customWidth="1"/>
    <col min="12804" max="12804" width="9.7109375" style="570" bestFit="1" customWidth="1"/>
    <col min="12805" max="12806" width="11.7109375" style="570" customWidth="1"/>
    <col min="12807" max="12807" width="11.5703125" style="570" customWidth="1"/>
    <col min="12808" max="12808" width="12.140625" style="570" customWidth="1"/>
    <col min="12809" max="12810" width="9.140625" style="570"/>
    <col min="12811" max="12811" width="4.42578125" style="570" customWidth="1"/>
    <col min="12812" max="12812" width="14.140625" style="570" customWidth="1"/>
    <col min="12813" max="13055" width="9.140625" style="570"/>
    <col min="13056" max="13056" width="5.28515625" style="570" customWidth="1"/>
    <col min="13057" max="13057" width="10.85546875" style="570" customWidth="1"/>
    <col min="13058" max="13058" width="13.42578125" style="570" customWidth="1"/>
    <col min="13059" max="13059" width="15.85546875" style="570" customWidth="1"/>
    <col min="13060" max="13060" width="9.7109375" style="570" bestFit="1" customWidth="1"/>
    <col min="13061" max="13062" width="11.7109375" style="570" customWidth="1"/>
    <col min="13063" max="13063" width="11.5703125" style="570" customWidth="1"/>
    <col min="13064" max="13064" width="12.140625" style="570" customWidth="1"/>
    <col min="13065" max="13066" width="9.140625" style="570"/>
    <col min="13067" max="13067" width="4.42578125" style="570" customWidth="1"/>
    <col min="13068" max="13068" width="14.140625" style="570" customWidth="1"/>
    <col min="13069" max="13311" width="9.140625" style="570"/>
    <col min="13312" max="13312" width="5.28515625" style="570" customWidth="1"/>
    <col min="13313" max="13313" width="10.85546875" style="570" customWidth="1"/>
    <col min="13314" max="13314" width="13.42578125" style="570" customWidth="1"/>
    <col min="13315" max="13315" width="15.85546875" style="570" customWidth="1"/>
    <col min="13316" max="13316" width="9.7109375" style="570" bestFit="1" customWidth="1"/>
    <col min="13317" max="13318" width="11.7109375" style="570" customWidth="1"/>
    <col min="13319" max="13319" width="11.5703125" style="570" customWidth="1"/>
    <col min="13320" max="13320" width="12.140625" style="570" customWidth="1"/>
    <col min="13321" max="13322" width="9.140625" style="570"/>
    <col min="13323" max="13323" width="4.42578125" style="570" customWidth="1"/>
    <col min="13324" max="13324" width="14.140625" style="570" customWidth="1"/>
    <col min="13325" max="13567" width="9.140625" style="570"/>
    <col min="13568" max="13568" width="5.28515625" style="570" customWidth="1"/>
    <col min="13569" max="13569" width="10.85546875" style="570" customWidth="1"/>
    <col min="13570" max="13570" width="13.42578125" style="570" customWidth="1"/>
    <col min="13571" max="13571" width="15.85546875" style="570" customWidth="1"/>
    <col min="13572" max="13572" width="9.7109375" style="570" bestFit="1" customWidth="1"/>
    <col min="13573" max="13574" width="11.7109375" style="570" customWidth="1"/>
    <col min="13575" max="13575" width="11.5703125" style="570" customWidth="1"/>
    <col min="13576" max="13576" width="12.140625" style="570" customWidth="1"/>
    <col min="13577" max="13578" width="9.140625" style="570"/>
    <col min="13579" max="13579" width="4.42578125" style="570" customWidth="1"/>
    <col min="13580" max="13580" width="14.140625" style="570" customWidth="1"/>
    <col min="13581" max="13823" width="9.140625" style="570"/>
    <col min="13824" max="13824" width="5.28515625" style="570" customWidth="1"/>
    <col min="13825" max="13825" width="10.85546875" style="570" customWidth="1"/>
    <col min="13826" max="13826" width="13.42578125" style="570" customWidth="1"/>
    <col min="13827" max="13827" width="15.85546875" style="570" customWidth="1"/>
    <col min="13828" max="13828" width="9.7109375" style="570" bestFit="1" customWidth="1"/>
    <col min="13829" max="13830" width="11.7109375" style="570" customWidth="1"/>
    <col min="13831" max="13831" width="11.5703125" style="570" customWidth="1"/>
    <col min="13832" max="13832" width="12.140625" style="570" customWidth="1"/>
    <col min="13833" max="13834" width="9.140625" style="570"/>
    <col min="13835" max="13835" width="4.42578125" style="570" customWidth="1"/>
    <col min="13836" max="13836" width="14.140625" style="570" customWidth="1"/>
    <col min="13837" max="14079" width="9.140625" style="570"/>
    <col min="14080" max="14080" width="5.28515625" style="570" customWidth="1"/>
    <col min="14081" max="14081" width="10.85546875" style="570" customWidth="1"/>
    <col min="14082" max="14082" width="13.42578125" style="570" customWidth="1"/>
    <col min="14083" max="14083" width="15.85546875" style="570" customWidth="1"/>
    <col min="14084" max="14084" width="9.7109375" style="570" bestFit="1" customWidth="1"/>
    <col min="14085" max="14086" width="11.7109375" style="570" customWidth="1"/>
    <col min="14087" max="14087" width="11.5703125" style="570" customWidth="1"/>
    <col min="14088" max="14088" width="12.140625" style="570" customWidth="1"/>
    <col min="14089" max="14090" width="9.140625" style="570"/>
    <col min="14091" max="14091" width="4.42578125" style="570" customWidth="1"/>
    <col min="14092" max="14092" width="14.140625" style="570" customWidth="1"/>
    <col min="14093" max="14335" width="9.140625" style="570"/>
    <col min="14336" max="14336" width="5.28515625" style="570" customWidth="1"/>
    <col min="14337" max="14337" width="10.85546875" style="570" customWidth="1"/>
    <col min="14338" max="14338" width="13.42578125" style="570" customWidth="1"/>
    <col min="14339" max="14339" width="15.85546875" style="570" customWidth="1"/>
    <col min="14340" max="14340" width="9.7109375" style="570" bestFit="1" customWidth="1"/>
    <col min="14341" max="14342" width="11.7109375" style="570" customWidth="1"/>
    <col min="14343" max="14343" width="11.5703125" style="570" customWidth="1"/>
    <col min="14344" max="14344" width="12.140625" style="570" customWidth="1"/>
    <col min="14345" max="14346" width="9.140625" style="570"/>
    <col min="14347" max="14347" width="4.42578125" style="570" customWidth="1"/>
    <col min="14348" max="14348" width="14.140625" style="570" customWidth="1"/>
    <col min="14349" max="14591" width="9.140625" style="570"/>
    <col min="14592" max="14592" width="5.28515625" style="570" customWidth="1"/>
    <col min="14593" max="14593" width="10.85546875" style="570" customWidth="1"/>
    <col min="14594" max="14594" width="13.42578125" style="570" customWidth="1"/>
    <col min="14595" max="14595" width="15.85546875" style="570" customWidth="1"/>
    <col min="14596" max="14596" width="9.7109375" style="570" bestFit="1" customWidth="1"/>
    <col min="14597" max="14598" width="11.7109375" style="570" customWidth="1"/>
    <col min="14599" max="14599" width="11.5703125" style="570" customWidth="1"/>
    <col min="14600" max="14600" width="12.140625" style="570" customWidth="1"/>
    <col min="14601" max="14602" width="9.140625" style="570"/>
    <col min="14603" max="14603" width="4.42578125" style="570" customWidth="1"/>
    <col min="14604" max="14604" width="14.140625" style="570" customWidth="1"/>
    <col min="14605" max="14847" width="9.140625" style="570"/>
    <col min="14848" max="14848" width="5.28515625" style="570" customWidth="1"/>
    <col min="14849" max="14849" width="10.85546875" style="570" customWidth="1"/>
    <col min="14850" max="14850" width="13.42578125" style="570" customWidth="1"/>
    <col min="14851" max="14851" width="15.85546875" style="570" customWidth="1"/>
    <col min="14852" max="14852" width="9.7109375" style="570" bestFit="1" customWidth="1"/>
    <col min="14853" max="14854" width="11.7109375" style="570" customWidth="1"/>
    <col min="14855" max="14855" width="11.5703125" style="570" customWidth="1"/>
    <col min="14856" max="14856" width="12.140625" style="570" customWidth="1"/>
    <col min="14857" max="14858" width="9.140625" style="570"/>
    <col min="14859" max="14859" width="4.42578125" style="570" customWidth="1"/>
    <col min="14860" max="14860" width="14.140625" style="570" customWidth="1"/>
    <col min="14861" max="15103" width="9.140625" style="570"/>
    <col min="15104" max="15104" width="5.28515625" style="570" customWidth="1"/>
    <col min="15105" max="15105" width="10.85546875" style="570" customWidth="1"/>
    <col min="15106" max="15106" width="13.42578125" style="570" customWidth="1"/>
    <col min="15107" max="15107" width="15.85546875" style="570" customWidth="1"/>
    <col min="15108" max="15108" width="9.7109375" style="570" bestFit="1" customWidth="1"/>
    <col min="15109" max="15110" width="11.7109375" style="570" customWidth="1"/>
    <col min="15111" max="15111" width="11.5703125" style="570" customWidth="1"/>
    <col min="15112" max="15112" width="12.140625" style="570" customWidth="1"/>
    <col min="15113" max="15114" width="9.140625" style="570"/>
    <col min="15115" max="15115" width="4.42578125" style="570" customWidth="1"/>
    <col min="15116" max="15116" width="14.140625" style="570" customWidth="1"/>
    <col min="15117" max="15359" width="9.140625" style="570"/>
    <col min="15360" max="15360" width="5.28515625" style="570" customWidth="1"/>
    <col min="15361" max="15361" width="10.85546875" style="570" customWidth="1"/>
    <col min="15362" max="15362" width="13.42578125" style="570" customWidth="1"/>
    <col min="15363" max="15363" width="15.85546875" style="570" customWidth="1"/>
    <col min="15364" max="15364" width="9.7109375" style="570" bestFit="1" customWidth="1"/>
    <col min="15365" max="15366" width="11.7109375" style="570" customWidth="1"/>
    <col min="15367" max="15367" width="11.5703125" style="570" customWidth="1"/>
    <col min="15368" max="15368" width="12.140625" style="570" customWidth="1"/>
    <col min="15369" max="15370" width="9.140625" style="570"/>
    <col min="15371" max="15371" width="4.42578125" style="570" customWidth="1"/>
    <col min="15372" max="15372" width="14.140625" style="570" customWidth="1"/>
    <col min="15373" max="15615" width="9.140625" style="570"/>
    <col min="15616" max="15616" width="5.28515625" style="570" customWidth="1"/>
    <col min="15617" max="15617" width="10.85546875" style="570" customWidth="1"/>
    <col min="15618" max="15618" width="13.42578125" style="570" customWidth="1"/>
    <col min="15619" max="15619" width="15.85546875" style="570" customWidth="1"/>
    <col min="15620" max="15620" width="9.7109375" style="570" bestFit="1" customWidth="1"/>
    <col min="15621" max="15622" width="11.7109375" style="570" customWidth="1"/>
    <col min="15623" max="15623" width="11.5703125" style="570" customWidth="1"/>
    <col min="15624" max="15624" width="12.140625" style="570" customWidth="1"/>
    <col min="15625" max="15626" width="9.140625" style="570"/>
    <col min="15627" max="15627" width="4.42578125" style="570" customWidth="1"/>
    <col min="15628" max="15628" width="14.140625" style="570" customWidth="1"/>
    <col min="15629" max="15871" width="9.140625" style="570"/>
    <col min="15872" max="15872" width="5.28515625" style="570" customWidth="1"/>
    <col min="15873" max="15873" width="10.85546875" style="570" customWidth="1"/>
    <col min="15874" max="15874" width="13.42578125" style="570" customWidth="1"/>
    <col min="15875" max="15875" width="15.85546875" style="570" customWidth="1"/>
    <col min="15876" max="15876" width="9.7109375" style="570" bestFit="1" customWidth="1"/>
    <col min="15877" max="15878" width="11.7109375" style="570" customWidth="1"/>
    <col min="15879" max="15879" width="11.5703125" style="570" customWidth="1"/>
    <col min="15880" max="15880" width="12.140625" style="570" customWidth="1"/>
    <col min="15881" max="15882" width="9.140625" style="570"/>
    <col min="15883" max="15883" width="4.42578125" style="570" customWidth="1"/>
    <col min="15884" max="15884" width="14.140625" style="570" customWidth="1"/>
    <col min="15885" max="16127" width="9.140625" style="570"/>
    <col min="16128" max="16128" width="5.28515625" style="570" customWidth="1"/>
    <col min="16129" max="16129" width="10.85546875" style="570" customWidth="1"/>
    <col min="16130" max="16130" width="13.42578125" style="570" customWidth="1"/>
    <col min="16131" max="16131" width="15.85546875" style="570" customWidth="1"/>
    <col min="16132" max="16132" width="9.7109375" style="570" bestFit="1" customWidth="1"/>
    <col min="16133" max="16134" width="11.7109375" style="570" customWidth="1"/>
    <col min="16135" max="16135" width="11.5703125" style="570" customWidth="1"/>
    <col min="16136" max="16136" width="12.140625" style="570" customWidth="1"/>
    <col min="16137" max="16138" width="9.140625" style="570"/>
    <col min="16139" max="16139" width="4.42578125" style="570" customWidth="1"/>
    <col min="16140" max="16140" width="14.140625" style="570" customWidth="1"/>
    <col min="16141" max="16384" width="9.140625" style="570"/>
  </cols>
  <sheetData>
    <row r="1" spans="1:19" s="572" customFormat="1" ht="20.100000000000001" customHeight="1">
      <c r="A1" s="1660" t="s">
        <v>996</v>
      </c>
      <c r="B1" s="1661"/>
      <c r="C1" s="1661"/>
      <c r="D1" s="1661"/>
      <c r="E1" s="1661"/>
      <c r="F1" s="1661"/>
      <c r="G1" s="1661"/>
      <c r="H1" s="1661"/>
      <c r="I1" s="1661"/>
      <c r="J1" s="1661"/>
      <c r="K1" s="1661"/>
      <c r="L1" s="1662"/>
    </row>
    <row r="2" spans="1:19" s="572" customFormat="1" ht="20.100000000000001" customHeight="1">
      <c r="A2" s="1663"/>
      <c r="B2" s="1663"/>
      <c r="C2" s="1663"/>
      <c r="D2" s="1663"/>
      <c r="E2" s="1663"/>
      <c r="F2" s="1663"/>
      <c r="G2" s="1663"/>
      <c r="H2" s="1663"/>
      <c r="I2" s="1663"/>
      <c r="J2" s="1663"/>
      <c r="K2" s="1663"/>
      <c r="L2" s="1663"/>
    </row>
    <row r="3" spans="1:19" s="572" customFormat="1" ht="20.100000000000001" customHeight="1">
      <c r="A3" s="551"/>
      <c r="B3" s="552" t="s">
        <v>644</v>
      </c>
      <c r="C3" s="552"/>
      <c r="D3" s="552"/>
      <c r="E3" s="552"/>
      <c r="F3" s="552"/>
      <c r="G3" s="552"/>
      <c r="H3" s="552"/>
      <c r="I3" s="552"/>
      <c r="J3" s="552"/>
      <c r="K3" s="552"/>
      <c r="L3" s="552"/>
    </row>
    <row r="4" spans="1:19" s="572" customFormat="1" ht="20.100000000000001" customHeight="1">
      <c r="A4" s="551"/>
      <c r="B4" s="552" t="s">
        <v>645</v>
      </c>
      <c r="C4" s="552"/>
      <c r="D4" s="552">
        <v>300</v>
      </c>
      <c r="E4" s="552" t="s">
        <v>646</v>
      </c>
      <c r="F4" s="552"/>
      <c r="G4" s="552"/>
      <c r="H4" s="552"/>
      <c r="I4" s="552"/>
      <c r="J4" s="552"/>
      <c r="K4" s="552"/>
      <c r="L4" s="552"/>
    </row>
    <row r="5" spans="1:19" s="572" customFormat="1" ht="20.100000000000001" customHeight="1">
      <c r="A5" s="551"/>
      <c r="B5" s="552" t="s">
        <v>647</v>
      </c>
      <c r="C5" s="552"/>
      <c r="D5" s="552">
        <v>50</v>
      </c>
      <c r="E5" s="552" t="s">
        <v>646</v>
      </c>
      <c r="F5" s="552"/>
      <c r="G5" s="552"/>
      <c r="H5" s="552"/>
      <c r="I5" s="552"/>
      <c r="J5" s="552"/>
      <c r="K5" s="552"/>
      <c r="L5" s="552"/>
    </row>
    <row r="6" spans="1:19" s="572" customFormat="1" ht="20.100000000000001" customHeight="1">
      <c r="A6" s="551"/>
      <c r="B6" s="552"/>
      <c r="C6" s="552"/>
      <c r="D6" s="552"/>
      <c r="E6" s="552"/>
      <c r="F6" s="552"/>
      <c r="G6" s="552"/>
      <c r="H6" s="552"/>
      <c r="I6" s="552"/>
      <c r="J6" s="552"/>
      <c r="K6" s="552"/>
      <c r="L6" s="552"/>
    </row>
    <row r="7" spans="1:19" s="572" customFormat="1" ht="20.100000000000001" customHeight="1">
      <c r="A7" s="551" t="s">
        <v>648</v>
      </c>
      <c r="B7" s="552" t="s">
        <v>649</v>
      </c>
      <c r="C7" s="552"/>
      <c r="D7" s="552">
        <f>D4</f>
        <v>300</v>
      </c>
      <c r="E7" s="552" t="s">
        <v>650</v>
      </c>
      <c r="F7" s="552"/>
      <c r="G7" s="552"/>
      <c r="H7" s="553"/>
      <c r="I7" s="552"/>
      <c r="J7" s="552"/>
      <c r="K7" s="552" t="s">
        <v>651</v>
      </c>
      <c r="L7" s="554">
        <v>1286</v>
      </c>
      <c r="N7" s="573"/>
      <c r="O7" s="573"/>
      <c r="P7" s="573"/>
      <c r="Q7" s="573"/>
      <c r="R7" s="573"/>
    </row>
    <row r="8" spans="1:19" s="572" customFormat="1" ht="20.100000000000001" customHeight="1">
      <c r="A8" s="551"/>
      <c r="B8" s="1664" t="s">
        <v>652</v>
      </c>
      <c r="C8" s="1664"/>
      <c r="D8" s="1664"/>
      <c r="E8" s="1664"/>
      <c r="F8" s="1664"/>
      <c r="G8" s="1664"/>
      <c r="H8" s="552"/>
      <c r="I8" s="552"/>
      <c r="J8" s="552"/>
      <c r="K8" s="552"/>
      <c r="L8" s="552"/>
    </row>
    <row r="9" spans="1:19" s="572" customFormat="1" ht="20.100000000000001" customHeight="1">
      <c r="A9" s="551"/>
      <c r="B9" s="552"/>
      <c r="C9" s="552"/>
      <c r="D9" s="552"/>
      <c r="E9" s="552"/>
      <c r="F9" s="552"/>
      <c r="G9" s="552"/>
      <c r="H9" s="552"/>
      <c r="I9" s="552"/>
      <c r="J9" s="552"/>
      <c r="K9" s="552"/>
      <c r="L9" s="552"/>
    </row>
    <row r="10" spans="1:19" s="572" customFormat="1" ht="20.100000000000001" customHeight="1">
      <c r="A10" s="551"/>
      <c r="B10" s="552"/>
      <c r="C10" s="552"/>
      <c r="D10" s="552"/>
      <c r="E10" s="552"/>
      <c r="F10" s="552"/>
      <c r="G10" s="552"/>
      <c r="H10" s="552"/>
      <c r="I10" s="552"/>
      <c r="J10" s="552"/>
      <c r="K10" s="552"/>
      <c r="L10" s="552"/>
    </row>
    <row r="11" spans="1:19" s="572" customFormat="1" ht="20.100000000000001" customHeight="1">
      <c r="A11" s="551" t="s">
        <v>653</v>
      </c>
      <c r="B11" s="555" t="s">
        <v>654</v>
      </c>
      <c r="C11" s="555"/>
      <c r="D11" s="555"/>
      <c r="E11" s="555"/>
      <c r="F11" s="555"/>
      <c r="G11" s="555"/>
      <c r="H11" s="552"/>
      <c r="I11" s="552"/>
      <c r="J11" s="552"/>
      <c r="K11" s="552"/>
      <c r="L11" s="552"/>
      <c r="N11" s="1667"/>
      <c r="O11" s="1667"/>
      <c r="P11" s="1667"/>
      <c r="Q11" s="1667"/>
      <c r="R11" s="1667"/>
      <c r="S11" s="1667"/>
    </row>
    <row r="12" spans="1:19" s="572" customFormat="1" ht="20.100000000000001" customHeight="1">
      <c r="A12" s="551"/>
      <c r="B12" s="555" t="s">
        <v>655</v>
      </c>
      <c r="C12" s="555">
        <v>1.53</v>
      </c>
      <c r="D12" s="555" t="s">
        <v>656</v>
      </c>
      <c r="E12" s="555"/>
      <c r="F12" s="1668" t="s">
        <v>657</v>
      </c>
      <c r="G12" s="1668"/>
      <c r="H12" s="552">
        <f>SUM(C12:C13)</f>
        <v>2.31</v>
      </c>
      <c r="I12" s="552" t="s">
        <v>658</v>
      </c>
      <c r="J12" s="552"/>
      <c r="K12" s="552"/>
      <c r="L12" s="552"/>
      <c r="N12" s="716"/>
      <c r="O12" s="716"/>
      <c r="P12" s="716"/>
      <c r="Q12" s="716"/>
      <c r="R12" s="716"/>
      <c r="S12" s="716"/>
    </row>
    <row r="13" spans="1:19" s="572" customFormat="1" ht="20.100000000000001" customHeight="1">
      <c r="A13" s="551"/>
      <c r="B13" s="555" t="s">
        <v>660</v>
      </c>
      <c r="C13" s="555">
        <v>0.78</v>
      </c>
      <c r="D13" s="555" t="s">
        <v>656</v>
      </c>
      <c r="E13" s="555"/>
      <c r="F13" s="555"/>
      <c r="G13" s="555"/>
      <c r="H13" s="552"/>
      <c r="I13" s="552"/>
      <c r="J13" s="552"/>
      <c r="K13" s="552"/>
      <c r="L13" s="552"/>
      <c r="N13" s="716"/>
      <c r="O13" s="716"/>
      <c r="P13" s="716"/>
      <c r="Q13" s="716"/>
      <c r="R13" s="716"/>
      <c r="S13" s="716"/>
    </row>
    <row r="14" spans="1:19" s="572" customFormat="1" ht="20.100000000000001" customHeight="1">
      <c r="A14" s="551"/>
      <c r="B14" s="556"/>
      <c r="C14" s="556"/>
      <c r="D14" s="556"/>
      <c r="E14" s="552"/>
      <c r="F14" s="552"/>
      <c r="G14" s="552"/>
      <c r="H14" s="552"/>
      <c r="I14" s="552"/>
      <c r="J14" s="552"/>
      <c r="K14" s="552"/>
      <c r="L14" s="552"/>
    </row>
    <row r="15" spans="1:19" s="572" customFormat="1" ht="20.100000000000001" customHeight="1">
      <c r="A15" s="551"/>
      <c r="B15" s="555" t="s">
        <v>661</v>
      </c>
      <c r="C15" s="717"/>
      <c r="D15" s="558"/>
      <c r="E15" s="558">
        <v>37000</v>
      </c>
      <c r="F15" s="554"/>
      <c r="G15" s="552" t="s">
        <v>662</v>
      </c>
      <c r="H15" s="552"/>
      <c r="I15" s="554"/>
      <c r="J15" s="552"/>
      <c r="K15" s="552"/>
      <c r="L15" s="552"/>
    </row>
    <row r="16" spans="1:19" s="572" customFormat="1" ht="20.100000000000001" customHeight="1">
      <c r="A16" s="551"/>
      <c r="B16" s="555" t="s">
        <v>663</v>
      </c>
      <c r="C16" s="717"/>
      <c r="D16" s="558"/>
      <c r="E16" s="558">
        <v>47000</v>
      </c>
      <c r="F16" s="554"/>
      <c r="G16" s="552" t="s">
        <v>664</v>
      </c>
      <c r="H16" s="552"/>
      <c r="I16" s="554"/>
      <c r="J16" s="552"/>
      <c r="K16" s="552"/>
      <c r="L16" s="552"/>
    </row>
    <row r="17" spans="1:14" s="572" customFormat="1" ht="18.75">
      <c r="A17" s="551"/>
      <c r="B17" s="552"/>
      <c r="C17" s="552" t="s">
        <v>665</v>
      </c>
      <c r="D17" s="717" t="s">
        <v>651</v>
      </c>
      <c r="E17" s="552"/>
      <c r="F17" s="559">
        <f>E15-E16</f>
        <v>-10000</v>
      </c>
      <c r="G17" s="1666">
        <f>-H12</f>
        <v>-2.31</v>
      </c>
      <c r="H17" s="560"/>
      <c r="I17" s="555"/>
      <c r="J17" s="552"/>
      <c r="K17" s="552" t="s">
        <v>651</v>
      </c>
      <c r="L17" s="561">
        <f>(E15-E16)/1000*H12</f>
        <v>-23.1</v>
      </c>
    </row>
    <row r="18" spans="1:14" s="572" customFormat="1" ht="18.75">
      <c r="A18" s="551"/>
      <c r="B18" s="552"/>
      <c r="C18" s="552"/>
      <c r="D18" s="552"/>
      <c r="E18" s="552"/>
      <c r="F18" s="562">
        <v>1000</v>
      </c>
      <c r="G18" s="1666"/>
      <c r="H18" s="714"/>
      <c r="I18" s="555"/>
      <c r="J18" s="552"/>
      <c r="K18" s="552"/>
      <c r="L18" s="552"/>
    </row>
    <row r="19" spans="1:14" s="572" customFormat="1" ht="18.75">
      <c r="A19" s="551"/>
      <c r="B19" s="552"/>
      <c r="C19" s="552"/>
      <c r="D19" s="552"/>
      <c r="E19" s="552"/>
      <c r="F19" s="552"/>
      <c r="G19" s="552"/>
      <c r="H19" s="552"/>
      <c r="I19" s="552"/>
      <c r="J19" s="552"/>
      <c r="K19" s="552"/>
      <c r="L19" s="552"/>
    </row>
    <row r="20" spans="1:14" s="572" customFormat="1" ht="18.75">
      <c r="A20" s="551"/>
      <c r="B20" s="1664"/>
      <c r="C20" s="1664"/>
      <c r="D20" s="1664"/>
      <c r="E20" s="1664"/>
      <c r="F20" s="1664"/>
      <c r="G20" s="1664"/>
      <c r="H20" s="1664"/>
      <c r="I20" s="552"/>
      <c r="J20" s="552"/>
      <c r="K20" s="552" t="s">
        <v>651</v>
      </c>
      <c r="L20" s="563">
        <f>L7+L17</f>
        <v>1262.9000000000001</v>
      </c>
    </row>
    <row r="21" spans="1:14" s="572" customFormat="1" ht="18.75">
      <c r="A21" s="551"/>
      <c r="B21" s="552"/>
      <c r="C21" s="552"/>
      <c r="D21" s="552"/>
      <c r="E21" s="552"/>
      <c r="F21" s="552"/>
      <c r="G21" s="552"/>
      <c r="H21" s="552"/>
      <c r="I21" s="552"/>
      <c r="J21" s="552"/>
      <c r="K21" s="552"/>
      <c r="L21" s="552"/>
    </row>
    <row r="22" spans="1:14" s="572" customFormat="1" ht="18.75">
      <c r="A22" s="551" t="s">
        <v>666</v>
      </c>
      <c r="B22" s="1664" t="s">
        <v>667</v>
      </c>
      <c r="C22" s="1664"/>
      <c r="D22" s="1664"/>
      <c r="E22" s="1664"/>
      <c r="F22" s="1664"/>
      <c r="G22" s="1664"/>
      <c r="H22" s="1664"/>
      <c r="I22" s="552"/>
      <c r="J22" s="552"/>
      <c r="K22" s="552"/>
      <c r="L22" s="563"/>
    </row>
    <row r="23" spans="1:14" s="572" customFormat="1" ht="18.75">
      <c r="A23" s="551"/>
      <c r="B23" s="552" t="s">
        <v>668</v>
      </c>
      <c r="C23" s="552"/>
      <c r="D23" s="555" t="s">
        <v>669</v>
      </c>
      <c r="E23" s="555">
        <f>(D4+D5/2)/1000</f>
        <v>0.32500000000000001</v>
      </c>
      <c r="F23" s="714" t="s">
        <v>163</v>
      </c>
      <c r="G23" s="555">
        <f>D5/1000</f>
        <v>0.05</v>
      </c>
      <c r="H23" s="555" t="s">
        <v>670</v>
      </c>
      <c r="I23" s="556"/>
      <c r="J23" s="564">
        <f>(22/7)*((D4+(D5/2))*D5*2.65)/1000000</f>
        <v>0.13533928571428572</v>
      </c>
      <c r="K23" s="555" t="s">
        <v>109</v>
      </c>
      <c r="L23" s="563"/>
    </row>
    <row r="24" spans="1:14" s="572" customFormat="1" ht="18.75">
      <c r="A24" s="551"/>
      <c r="B24" s="552" t="s">
        <v>671</v>
      </c>
      <c r="C24" s="552"/>
      <c r="D24" s="552"/>
      <c r="E24" s="552"/>
      <c r="F24" s="552"/>
      <c r="G24" s="555"/>
      <c r="H24" s="555"/>
      <c r="I24" s="552"/>
      <c r="J24" s="552"/>
      <c r="K24" s="552"/>
      <c r="L24" s="563"/>
    </row>
    <row r="25" spans="1:14" s="572" customFormat="1" ht="18.75">
      <c r="A25" s="551"/>
      <c r="B25" s="552">
        <f>J23</f>
        <v>0.13533928571428572</v>
      </c>
      <c r="C25" s="565" t="s">
        <v>672</v>
      </c>
      <c r="D25" s="565">
        <f>B25*7.2</f>
        <v>0.97444285714285717</v>
      </c>
      <c r="E25" s="552" t="s">
        <v>673</v>
      </c>
      <c r="F25" s="552"/>
      <c r="G25" s="558">
        <f>D25/2.5</f>
        <v>0.38977714285714288</v>
      </c>
      <c r="H25" s="552" t="s">
        <v>674</v>
      </c>
      <c r="I25" s="556"/>
      <c r="J25" s="556"/>
      <c r="K25" s="556"/>
      <c r="L25" s="556"/>
      <c r="N25" s="575"/>
    </row>
    <row r="26" spans="1:14" s="572" customFormat="1" ht="18.75">
      <c r="A26" s="551"/>
      <c r="B26" s="555" t="s">
        <v>675</v>
      </c>
      <c r="C26" s="554"/>
      <c r="D26" s="566"/>
      <c r="E26" s="566"/>
      <c r="F26" s="717" t="s">
        <v>676</v>
      </c>
      <c r="G26" s="558">
        <f>G25*50</f>
        <v>19.488857142857142</v>
      </c>
      <c r="H26" s="552" t="s">
        <v>658</v>
      </c>
      <c r="I26" s="552"/>
      <c r="J26" s="552"/>
      <c r="K26" s="552"/>
      <c r="L26" s="563"/>
    </row>
    <row r="27" spans="1:14" s="572" customFormat="1" ht="18.75">
      <c r="A27" s="551"/>
      <c r="B27" s="552"/>
      <c r="C27" s="552"/>
      <c r="D27" s="552"/>
      <c r="E27" s="552"/>
      <c r="F27" s="717"/>
      <c r="G27" s="339"/>
      <c r="H27" s="556"/>
      <c r="I27" s="552"/>
      <c r="J27" s="552"/>
      <c r="K27" s="552"/>
      <c r="L27" s="563"/>
    </row>
    <row r="28" spans="1:14" s="572" customFormat="1" ht="18.75">
      <c r="A28" s="551"/>
      <c r="B28" s="1664" t="s">
        <v>677</v>
      </c>
      <c r="C28" s="1664"/>
      <c r="D28" s="1664"/>
      <c r="E28" s="1664"/>
      <c r="F28" s="1664"/>
      <c r="G28" s="1664"/>
      <c r="H28" s="552"/>
      <c r="I28" s="552"/>
      <c r="J28" s="552"/>
      <c r="K28" s="552"/>
      <c r="L28" s="563"/>
    </row>
    <row r="29" spans="1:14" s="572" customFormat="1" ht="18.75">
      <c r="A29" s="551"/>
      <c r="B29" s="715" t="s">
        <v>678</v>
      </c>
      <c r="C29" s="715"/>
      <c r="D29" s="715"/>
      <c r="E29" s="562">
        <v>4300</v>
      </c>
      <c r="F29" s="715" t="s">
        <v>679</v>
      </c>
      <c r="G29" s="715"/>
      <c r="H29" s="552"/>
      <c r="I29" s="552"/>
      <c r="J29" s="552"/>
      <c r="K29" s="552"/>
      <c r="L29" s="563"/>
    </row>
    <row r="30" spans="1:14" s="572" customFormat="1" ht="18.75">
      <c r="A30" s="551"/>
      <c r="B30" s="715" t="s">
        <v>680</v>
      </c>
      <c r="C30" s="715"/>
      <c r="D30" s="715"/>
      <c r="E30" s="562">
        <v>5300</v>
      </c>
      <c r="F30" s="715" t="s">
        <v>679</v>
      </c>
      <c r="G30" s="715"/>
      <c r="H30" s="552"/>
      <c r="I30" s="552"/>
      <c r="J30" s="552"/>
      <c r="K30" s="552"/>
      <c r="L30" s="563"/>
    </row>
    <row r="31" spans="1:14" s="572" customFormat="1" ht="18.75">
      <c r="A31" s="551"/>
      <c r="B31" s="555"/>
      <c r="C31" s="555"/>
      <c r="D31" s="717"/>
      <c r="E31" s="717"/>
      <c r="F31" s="715"/>
      <c r="G31" s="339">
        <f>E29-E30</f>
        <v>-1000</v>
      </c>
      <c r="H31" s="1665">
        <f>G26</f>
        <v>19.488857142857142</v>
      </c>
      <c r="I31" s="714"/>
      <c r="J31" s="568"/>
      <c r="K31" s="552" t="s">
        <v>651</v>
      </c>
      <c r="L31" s="554">
        <f>G31/1000*H31</f>
        <v>-19.488857142857142</v>
      </c>
    </row>
    <row r="32" spans="1:14" s="572" customFormat="1" ht="18.75">
      <c r="A32" s="551"/>
      <c r="B32" s="552"/>
      <c r="C32" s="552"/>
      <c r="D32" s="552"/>
      <c r="E32" s="552"/>
      <c r="F32" s="552"/>
      <c r="G32" s="714">
        <v>1000</v>
      </c>
      <c r="H32" s="1666"/>
      <c r="I32" s="714"/>
      <c r="J32" s="552"/>
      <c r="K32" s="552"/>
      <c r="L32" s="552"/>
    </row>
    <row r="33" spans="1:15" s="572" customFormat="1" ht="18.75">
      <c r="A33" s="551"/>
      <c r="B33" s="552"/>
      <c r="C33" s="552"/>
      <c r="D33" s="552"/>
      <c r="E33" s="552"/>
      <c r="F33" s="552"/>
      <c r="G33" s="552"/>
      <c r="H33" s="552"/>
      <c r="I33" s="552"/>
      <c r="J33" s="552"/>
      <c r="K33" s="552"/>
      <c r="L33" s="552"/>
    </row>
    <row r="34" spans="1:15" s="572" customFormat="1" ht="18.75">
      <c r="A34" s="551"/>
      <c r="B34" s="552"/>
      <c r="C34" s="552"/>
      <c r="D34" s="552"/>
      <c r="E34" s="552"/>
      <c r="F34" s="552"/>
      <c r="G34" s="552"/>
      <c r="H34" s="552"/>
      <c r="I34" s="714"/>
      <c r="J34" s="552"/>
      <c r="K34" s="552"/>
      <c r="L34" s="554"/>
    </row>
    <row r="35" spans="1:15" s="572" customFormat="1" ht="18.75">
      <c r="A35" s="551" t="s">
        <v>681</v>
      </c>
      <c r="B35" s="556" t="s">
        <v>682</v>
      </c>
      <c r="C35" s="552"/>
      <c r="D35" s="552">
        <f>D4</f>
        <v>300</v>
      </c>
      <c r="E35" s="552" t="s">
        <v>683</v>
      </c>
      <c r="F35" s="552"/>
      <c r="G35" s="552"/>
      <c r="H35" s="552"/>
      <c r="I35" s="552"/>
      <c r="J35" s="552"/>
      <c r="K35" s="552"/>
      <c r="L35" s="563">
        <f>L31+L20</f>
        <v>1243.411142857143</v>
      </c>
      <c r="O35" s="576"/>
    </row>
    <row r="36" spans="1:15" s="572" customFormat="1" ht="18.75">
      <c r="A36" s="551" t="s">
        <v>684</v>
      </c>
      <c r="B36" s="552" t="s">
        <v>997</v>
      </c>
      <c r="C36" s="552"/>
      <c r="D36" s="552"/>
      <c r="E36" s="552"/>
      <c r="F36" s="552"/>
      <c r="G36" s="552"/>
      <c r="H36" s="552"/>
      <c r="I36" s="552"/>
      <c r="J36" s="552"/>
      <c r="K36" s="552"/>
      <c r="L36" s="554">
        <f>57.4+15*1.82</f>
        <v>84.7</v>
      </c>
      <c r="N36" s="572" t="s">
        <v>685</v>
      </c>
    </row>
    <row r="37" spans="1:15" s="572" customFormat="1" ht="18.75">
      <c r="A37" s="551"/>
      <c r="B37" s="552"/>
      <c r="C37" s="552"/>
      <c r="D37" s="552"/>
      <c r="E37" s="552"/>
      <c r="F37" s="552"/>
      <c r="G37" s="552"/>
      <c r="H37" s="552"/>
      <c r="I37" s="552"/>
      <c r="J37" s="1591" t="s">
        <v>686</v>
      </c>
      <c r="K37" s="1591"/>
      <c r="L37" s="563">
        <f>SUM(L35:L36)</f>
        <v>1328.111142857143</v>
      </c>
    </row>
    <row r="38" spans="1:15" s="572" customFormat="1" ht="18.75">
      <c r="A38" s="551" t="s">
        <v>687</v>
      </c>
      <c r="B38" s="569">
        <v>0.13614999999999999</v>
      </c>
      <c r="C38" s="552" t="s">
        <v>688</v>
      </c>
      <c r="D38" s="552"/>
      <c r="E38" s="552"/>
      <c r="F38" s="552"/>
      <c r="G38" s="552"/>
      <c r="H38" s="552"/>
      <c r="I38" s="552"/>
      <c r="J38" s="552"/>
      <c r="K38" s="552"/>
      <c r="L38" s="554">
        <v>0</v>
      </c>
    </row>
    <row r="39" spans="1:15" s="572" customFormat="1" ht="18.75">
      <c r="A39" s="551" t="s">
        <v>689</v>
      </c>
      <c r="B39" s="552" t="s">
        <v>690</v>
      </c>
      <c r="C39" s="552"/>
      <c r="D39" s="552"/>
      <c r="E39" s="552"/>
      <c r="F39" s="552"/>
      <c r="G39" s="552"/>
      <c r="H39" s="552"/>
      <c r="I39" s="552"/>
      <c r="J39" s="552"/>
      <c r="K39" s="552"/>
      <c r="L39" s="554">
        <f>H62</f>
        <v>203.35000000000002</v>
      </c>
    </row>
    <row r="40" spans="1:15" s="572" customFormat="1" ht="18.75">
      <c r="A40" s="551"/>
      <c r="B40" s="552"/>
      <c r="C40" s="552"/>
      <c r="D40" s="552"/>
      <c r="E40" s="552"/>
      <c r="F40" s="552"/>
      <c r="G40" s="552"/>
      <c r="H40" s="552"/>
      <c r="I40" s="552"/>
      <c r="J40" s="552"/>
      <c r="K40" s="552" t="s">
        <v>651</v>
      </c>
      <c r="L40" s="563">
        <f>SUM(L37:L39)</f>
        <v>1531.4611428571429</v>
      </c>
    </row>
    <row r="41" spans="1:15" s="572" customFormat="1" ht="18.75">
      <c r="A41" s="551"/>
      <c r="B41" s="552"/>
      <c r="C41" s="552"/>
      <c r="D41" s="552"/>
      <c r="E41" s="552"/>
      <c r="F41" s="552"/>
      <c r="G41" s="552"/>
      <c r="H41" s="552"/>
      <c r="I41" s="552"/>
      <c r="J41" s="553" t="s">
        <v>691</v>
      </c>
      <c r="K41" s="553" t="s">
        <v>692</v>
      </c>
      <c r="L41" s="563">
        <f>CEILING(L40,0.05)</f>
        <v>1531.5</v>
      </c>
    </row>
    <row r="42" spans="1:15" s="572" customFormat="1" ht="18.75">
      <c r="A42" s="551"/>
      <c r="B42" s="552"/>
      <c r="C42" s="552"/>
      <c r="D42" s="552"/>
      <c r="E42" s="552"/>
      <c r="F42" s="552"/>
      <c r="G42" s="552"/>
      <c r="H42" s="552"/>
      <c r="I42" s="552"/>
      <c r="J42" s="552"/>
      <c r="K42" s="552"/>
      <c r="L42" s="553" t="s">
        <v>693</v>
      </c>
    </row>
    <row r="43" spans="1:15">
      <c r="B43" s="571"/>
      <c r="C43" s="571"/>
      <c r="D43" s="571"/>
      <c r="E43" s="571"/>
      <c r="F43" s="571"/>
      <c r="G43" s="571"/>
      <c r="H43" s="571"/>
      <c r="I43" s="571"/>
      <c r="J43" s="571"/>
      <c r="K43" s="571"/>
      <c r="L43" s="571"/>
    </row>
    <row r="44" spans="1:15" ht="18.75">
      <c r="A44" s="777"/>
      <c r="B44" s="552" t="s">
        <v>239</v>
      </c>
      <c r="C44" s="552"/>
      <c r="D44" s="552"/>
      <c r="E44" s="552"/>
      <c r="F44" s="552"/>
      <c r="G44" s="552"/>
      <c r="H44" s="552"/>
      <c r="I44" s="552"/>
      <c r="J44" s="552"/>
      <c r="K44" s="552"/>
      <c r="L44" s="552"/>
    </row>
    <row r="45" spans="1:15" ht="91.5" customHeight="1">
      <c r="A45" s="777"/>
      <c r="B45" s="552"/>
      <c r="C45" s="1669" t="s">
        <v>694</v>
      </c>
      <c r="D45" s="1669"/>
      <c r="E45" s="1669"/>
      <c r="F45" s="1669"/>
      <c r="G45" s="1669"/>
      <c r="H45" s="1669"/>
      <c r="I45" s="831"/>
      <c r="J45" s="831"/>
      <c r="K45" s="831"/>
      <c r="L45" s="832"/>
    </row>
    <row r="46" spans="1:15" ht="18.75">
      <c r="A46" s="777"/>
      <c r="B46" s="552"/>
      <c r="C46" s="552" t="s">
        <v>241</v>
      </c>
      <c r="D46" s="552"/>
      <c r="E46" s="552"/>
      <c r="F46" s="552"/>
      <c r="G46" s="552"/>
      <c r="H46" s="552"/>
      <c r="I46" s="833"/>
      <c r="J46" s="552"/>
      <c r="K46" s="552"/>
      <c r="L46" s="552"/>
    </row>
    <row r="47" spans="1:15" ht="18.75">
      <c r="A47" s="777"/>
      <c r="B47" s="552"/>
      <c r="C47" s="552" t="s">
        <v>695</v>
      </c>
      <c r="D47" s="552"/>
      <c r="E47" s="552"/>
      <c r="F47" s="552"/>
      <c r="G47" s="552"/>
      <c r="H47" s="552"/>
      <c r="I47" s="833"/>
      <c r="J47" s="552"/>
      <c r="K47" s="552"/>
      <c r="L47" s="552"/>
    </row>
    <row r="48" spans="1:15" ht="18.75">
      <c r="A48" s="777"/>
      <c r="B48" s="552"/>
      <c r="C48" s="552" t="s">
        <v>998</v>
      </c>
      <c r="D48" s="552"/>
      <c r="E48" s="552"/>
      <c r="F48" s="552"/>
      <c r="G48" s="552"/>
      <c r="H48" s="552"/>
      <c r="I48" s="833"/>
      <c r="J48" s="552"/>
      <c r="K48" s="552"/>
      <c r="L48" s="552"/>
    </row>
    <row r="49" spans="1:12" ht="18.75">
      <c r="A49" s="777"/>
      <c r="B49" s="552"/>
      <c r="C49" s="552" t="s">
        <v>697</v>
      </c>
      <c r="D49" s="552"/>
      <c r="E49" s="552" t="s">
        <v>698</v>
      </c>
      <c r="F49" s="552" t="s">
        <v>9</v>
      </c>
      <c r="G49" s="552" t="s">
        <v>294</v>
      </c>
      <c r="H49" s="552" t="s">
        <v>567</v>
      </c>
      <c r="I49" s="833"/>
      <c r="J49" s="552"/>
      <c r="K49" s="552"/>
      <c r="L49" s="552"/>
    </row>
    <row r="50" spans="1:12" ht="18.75">
      <c r="A50" s="777"/>
      <c r="B50" s="552"/>
      <c r="C50" s="552" t="s">
        <v>279</v>
      </c>
      <c r="D50" s="552"/>
      <c r="E50" s="552">
        <v>1.75</v>
      </c>
      <c r="F50" s="552" t="s">
        <v>18</v>
      </c>
      <c r="G50" s="554">
        <f>'Lead Chart 24-25'!C64</f>
        <v>645</v>
      </c>
      <c r="H50" s="554">
        <f>E50*G50</f>
        <v>1128.75</v>
      </c>
      <c r="I50" s="833"/>
      <c r="J50" s="552"/>
      <c r="K50" s="552"/>
      <c r="L50" s="552"/>
    </row>
    <row r="51" spans="1:12" ht="18.75">
      <c r="A51" s="777"/>
      <c r="B51" s="552"/>
      <c r="C51" s="552" t="s">
        <v>699</v>
      </c>
      <c r="D51" s="552"/>
      <c r="E51" s="552">
        <v>4.1399999999999997</v>
      </c>
      <c r="F51" s="552" t="s">
        <v>18</v>
      </c>
      <c r="G51" s="554">
        <f>'Lead Chart 24-25'!C65</f>
        <v>615</v>
      </c>
      <c r="H51" s="554">
        <f t="shared" ref="H51:H56" si="0">E51*G51</f>
        <v>2546.1</v>
      </c>
      <c r="I51" s="833"/>
      <c r="J51" s="552"/>
      <c r="K51" s="552"/>
      <c r="L51" s="552"/>
    </row>
    <row r="52" spans="1:12" ht="18.75">
      <c r="A52" s="777"/>
      <c r="B52" s="552"/>
      <c r="C52" s="552" t="s">
        <v>700</v>
      </c>
      <c r="D52" s="552"/>
      <c r="E52" s="552">
        <v>11.6</v>
      </c>
      <c r="F52" s="552" t="s">
        <v>18</v>
      </c>
      <c r="G52" s="554">
        <f>'Lead Chart 24-25'!C63</f>
        <v>575</v>
      </c>
      <c r="H52" s="554">
        <f t="shared" si="0"/>
        <v>6670</v>
      </c>
      <c r="I52" s="833"/>
      <c r="J52" s="552"/>
      <c r="K52" s="552"/>
      <c r="L52" s="552"/>
    </row>
    <row r="53" spans="1:12" ht="18.75">
      <c r="A53" s="777"/>
      <c r="B53" s="552"/>
      <c r="C53" s="552" t="s">
        <v>701</v>
      </c>
      <c r="D53" s="552"/>
      <c r="E53" s="552">
        <v>2.2999999999999998</v>
      </c>
      <c r="F53" s="552" t="s">
        <v>18</v>
      </c>
      <c r="G53" s="554">
        <f>'Lead Chart 24-25'!C63</f>
        <v>575</v>
      </c>
      <c r="H53" s="554">
        <f t="shared" si="0"/>
        <v>1322.5</v>
      </c>
      <c r="I53" s="833"/>
      <c r="J53" s="552"/>
      <c r="K53" s="552"/>
      <c r="L53" s="552"/>
    </row>
    <row r="54" spans="1:12" ht="18.75">
      <c r="A54" s="777"/>
      <c r="B54" s="552"/>
      <c r="C54" s="552"/>
      <c r="D54" s="552"/>
      <c r="E54" s="552"/>
      <c r="F54" s="552"/>
      <c r="G54" s="554"/>
      <c r="H54" s="554"/>
      <c r="I54" s="833"/>
      <c r="J54" s="552"/>
      <c r="K54" s="552"/>
      <c r="L54" s="552"/>
    </row>
    <row r="55" spans="1:12" ht="18.75">
      <c r="A55" s="777"/>
      <c r="B55" s="552"/>
      <c r="C55" s="552" t="s">
        <v>702</v>
      </c>
      <c r="D55" s="552"/>
      <c r="E55" s="552"/>
      <c r="F55" s="552"/>
      <c r="G55" s="554"/>
      <c r="H55" s="554"/>
      <c r="I55" s="833"/>
      <c r="J55" s="552"/>
      <c r="K55" s="552"/>
      <c r="L55" s="552"/>
    </row>
    <row r="56" spans="1:12" ht="18.75">
      <c r="A56" s="777"/>
      <c r="B56" s="552"/>
      <c r="C56" s="1669" t="s">
        <v>703</v>
      </c>
      <c r="D56" s="1669"/>
      <c r="E56" s="552">
        <v>40</v>
      </c>
      <c r="F56" s="552" t="s">
        <v>247</v>
      </c>
      <c r="G56" s="524">
        <v>174</v>
      </c>
      <c r="H56" s="554">
        <f t="shared" si="0"/>
        <v>6960</v>
      </c>
      <c r="I56" s="833"/>
      <c r="J56" s="552"/>
      <c r="K56" s="552"/>
      <c r="L56" s="552"/>
    </row>
    <row r="57" spans="1:12" ht="18.75">
      <c r="A57" s="777"/>
      <c r="B57" s="552"/>
      <c r="C57" s="552"/>
      <c r="D57" s="552"/>
      <c r="E57" s="552"/>
      <c r="F57" s="552"/>
      <c r="G57" s="552"/>
      <c r="H57" s="554"/>
      <c r="I57" s="833"/>
      <c r="J57" s="552"/>
      <c r="K57" s="552"/>
      <c r="L57" s="552"/>
    </row>
    <row r="58" spans="1:12" ht="18.75">
      <c r="A58" s="777"/>
      <c r="B58" s="552"/>
      <c r="C58" s="552" t="s">
        <v>704</v>
      </c>
      <c r="D58" s="552"/>
      <c r="E58" s="552"/>
      <c r="F58" s="552"/>
      <c r="G58" s="552"/>
      <c r="H58" s="554">
        <f>1%*SUM(H50:H53)</f>
        <v>116.6735</v>
      </c>
      <c r="I58" s="833"/>
      <c r="J58" s="552"/>
      <c r="K58" s="552"/>
      <c r="L58" s="552"/>
    </row>
    <row r="59" spans="1:12" ht="18.75">
      <c r="A59" s="777"/>
      <c r="B59" s="552"/>
      <c r="C59" s="552" t="s">
        <v>705</v>
      </c>
      <c r="D59" s="552"/>
      <c r="E59" s="552"/>
      <c r="F59" s="552"/>
      <c r="G59" s="552"/>
      <c r="H59" s="778">
        <f>13.615%*SUM(H50:H53)</f>
        <v>1588.5097025</v>
      </c>
      <c r="I59" s="833"/>
      <c r="J59" s="552"/>
      <c r="K59" s="552"/>
      <c r="L59" s="552"/>
    </row>
    <row r="60" spans="1:12" ht="18.75">
      <c r="A60" s="777"/>
      <c r="B60" s="552"/>
      <c r="C60" s="552" t="s">
        <v>1073</v>
      </c>
      <c r="D60" s="552"/>
      <c r="E60" s="552"/>
      <c r="F60" s="552"/>
      <c r="G60" s="552"/>
      <c r="H60" s="554">
        <f>'Lead Chart 24-25'!J63*SUM(H50:H53)</f>
        <v>0</v>
      </c>
      <c r="I60" s="833"/>
      <c r="J60" s="552"/>
      <c r="K60" s="552"/>
      <c r="L60" s="552"/>
    </row>
    <row r="61" spans="1:12" ht="18.75">
      <c r="A61" s="777"/>
      <c r="B61" s="552"/>
      <c r="C61" s="552" t="s">
        <v>707</v>
      </c>
      <c r="D61" s="552"/>
      <c r="E61" s="552"/>
      <c r="F61" s="552"/>
      <c r="G61" s="552"/>
      <c r="H61" s="554">
        <f>SUM(H50:H60)</f>
        <v>20332.533202499999</v>
      </c>
      <c r="I61" s="833"/>
      <c r="J61" s="552"/>
      <c r="K61" s="552"/>
      <c r="L61" s="552"/>
    </row>
    <row r="62" spans="1:12" ht="18.75">
      <c r="A62" s="777"/>
      <c r="B62" s="552"/>
      <c r="C62" s="552" t="s">
        <v>708</v>
      </c>
      <c r="D62" s="552"/>
      <c r="E62" s="552"/>
      <c r="F62" s="552"/>
      <c r="G62" s="552"/>
      <c r="H62" s="554">
        <f>CEILING(H61/100,0.05)</f>
        <v>203.35000000000002</v>
      </c>
      <c r="I62" s="833"/>
      <c r="J62" s="552"/>
      <c r="K62" s="552"/>
      <c r="L62" s="552"/>
    </row>
  </sheetData>
  <mergeCells count="13">
    <mergeCell ref="A1:L1"/>
    <mergeCell ref="A2:L2"/>
    <mergeCell ref="B8:G8"/>
    <mergeCell ref="C56:D56"/>
    <mergeCell ref="B20:H20"/>
    <mergeCell ref="B22:H22"/>
    <mergeCell ref="B28:G28"/>
    <mergeCell ref="H31:H32"/>
    <mergeCell ref="N11:S11"/>
    <mergeCell ref="F12:G12"/>
    <mergeCell ref="G17:G18"/>
    <mergeCell ref="J37:K37"/>
    <mergeCell ref="C45:H45"/>
  </mergeCells>
  <printOptions horizontalCentered="1"/>
  <pageMargins left="0.70866141732283472" right="0.70866141732283472" top="0.74803149606299213" bottom="0.74803149606299213" header="0.31496062992125984" footer="0.31496062992125984"/>
  <pageSetup paperSize="9" scale="90" orientation="landscape" horizontalDpi="300" verticalDpi="300" r:id="rId1"/>
</worksheet>
</file>

<file path=xl/worksheets/sheet34.xml><?xml version="1.0" encoding="utf-8"?>
<worksheet xmlns="http://schemas.openxmlformats.org/spreadsheetml/2006/main" xmlns:r="http://schemas.openxmlformats.org/officeDocument/2006/relationships">
  <dimension ref="A1:S66"/>
  <sheetViews>
    <sheetView view="pageBreakPreview" topLeftCell="A43" zoomScale="120" zoomScaleSheetLayoutView="120" workbookViewId="0">
      <selection activeCell="B57" sqref="B57"/>
    </sheetView>
  </sheetViews>
  <sheetFormatPr defaultRowHeight="12.75"/>
  <cols>
    <col min="1" max="1" width="5.28515625" customWidth="1"/>
    <col min="2" max="2" width="10.85546875" customWidth="1"/>
    <col min="3" max="3" width="18.85546875" customWidth="1"/>
    <col min="4" max="4" width="15.85546875" customWidth="1"/>
    <col min="5" max="5" width="11" bestFit="1" customWidth="1"/>
    <col min="6" max="7" width="11.7109375" customWidth="1"/>
    <col min="8" max="8" width="11.5703125" customWidth="1"/>
    <col min="9" max="9" width="12.140625" customWidth="1"/>
    <col min="11" max="11" width="4.42578125" customWidth="1"/>
    <col min="12" max="12" width="14.140625" customWidth="1"/>
    <col min="256" max="256" width="5.28515625" customWidth="1"/>
    <col min="257" max="257" width="10.85546875" customWidth="1"/>
    <col min="258" max="258" width="13.42578125" customWidth="1"/>
    <col min="259" max="259" width="15.85546875" customWidth="1"/>
    <col min="260" max="260" width="9.7109375" bestFit="1" customWidth="1"/>
    <col min="261" max="262" width="11.7109375" customWidth="1"/>
    <col min="263" max="263" width="11.5703125" customWidth="1"/>
    <col min="264" max="264" width="12.140625" customWidth="1"/>
    <col min="267" max="267" width="4.42578125" customWidth="1"/>
    <col min="268" max="268" width="14.140625" customWidth="1"/>
    <col min="512" max="512" width="5.28515625" customWidth="1"/>
    <col min="513" max="513" width="10.85546875" customWidth="1"/>
    <col min="514" max="514" width="13.42578125" customWidth="1"/>
    <col min="515" max="515" width="15.85546875" customWidth="1"/>
    <col min="516" max="516" width="9.7109375" bestFit="1" customWidth="1"/>
    <col min="517" max="518" width="11.7109375" customWidth="1"/>
    <col min="519" max="519" width="11.5703125" customWidth="1"/>
    <col min="520" max="520" width="12.140625" customWidth="1"/>
    <col min="523" max="523" width="4.42578125" customWidth="1"/>
    <col min="524" max="524" width="14.140625" customWidth="1"/>
    <col min="768" max="768" width="5.28515625" customWidth="1"/>
    <col min="769" max="769" width="10.85546875" customWidth="1"/>
    <col min="770" max="770" width="13.42578125" customWidth="1"/>
    <col min="771" max="771" width="15.85546875" customWidth="1"/>
    <col min="772" max="772" width="9.7109375" bestFit="1" customWidth="1"/>
    <col min="773" max="774" width="11.7109375" customWidth="1"/>
    <col min="775" max="775" width="11.5703125" customWidth="1"/>
    <col min="776" max="776" width="12.140625" customWidth="1"/>
    <col min="779" max="779" width="4.42578125" customWidth="1"/>
    <col min="780" max="780" width="14.140625" customWidth="1"/>
    <col min="1024" max="1024" width="5.28515625" customWidth="1"/>
    <col min="1025" max="1025" width="10.85546875" customWidth="1"/>
    <col min="1026" max="1026" width="13.42578125" customWidth="1"/>
    <col min="1027" max="1027" width="15.85546875" customWidth="1"/>
    <col min="1028" max="1028" width="9.7109375" bestFit="1" customWidth="1"/>
    <col min="1029" max="1030" width="11.7109375" customWidth="1"/>
    <col min="1031" max="1031" width="11.5703125" customWidth="1"/>
    <col min="1032" max="1032" width="12.140625" customWidth="1"/>
    <col min="1035" max="1035" width="4.42578125" customWidth="1"/>
    <col min="1036" max="1036" width="14.140625" customWidth="1"/>
    <col min="1280" max="1280" width="5.28515625" customWidth="1"/>
    <col min="1281" max="1281" width="10.85546875" customWidth="1"/>
    <col min="1282" max="1282" width="13.42578125" customWidth="1"/>
    <col min="1283" max="1283" width="15.85546875" customWidth="1"/>
    <col min="1284" max="1284" width="9.7109375" bestFit="1" customWidth="1"/>
    <col min="1285" max="1286" width="11.7109375" customWidth="1"/>
    <col min="1287" max="1287" width="11.5703125" customWidth="1"/>
    <col min="1288" max="1288" width="12.140625" customWidth="1"/>
    <col min="1291" max="1291" width="4.42578125" customWidth="1"/>
    <col min="1292" max="1292" width="14.140625" customWidth="1"/>
    <col min="1536" max="1536" width="5.28515625" customWidth="1"/>
    <col min="1537" max="1537" width="10.85546875" customWidth="1"/>
    <col min="1538" max="1538" width="13.42578125" customWidth="1"/>
    <col min="1539" max="1539" width="15.85546875" customWidth="1"/>
    <col min="1540" max="1540" width="9.7109375" bestFit="1" customWidth="1"/>
    <col min="1541" max="1542" width="11.7109375" customWidth="1"/>
    <col min="1543" max="1543" width="11.5703125" customWidth="1"/>
    <col min="1544" max="1544" width="12.140625" customWidth="1"/>
    <col min="1547" max="1547" width="4.42578125" customWidth="1"/>
    <col min="1548" max="1548" width="14.140625" customWidth="1"/>
    <col min="1792" max="1792" width="5.28515625" customWidth="1"/>
    <col min="1793" max="1793" width="10.85546875" customWidth="1"/>
    <col min="1794" max="1794" width="13.42578125" customWidth="1"/>
    <col min="1795" max="1795" width="15.85546875" customWidth="1"/>
    <col min="1796" max="1796" width="9.7109375" bestFit="1" customWidth="1"/>
    <col min="1797" max="1798" width="11.7109375" customWidth="1"/>
    <col min="1799" max="1799" width="11.5703125" customWidth="1"/>
    <col min="1800" max="1800" width="12.140625" customWidth="1"/>
    <col min="1803" max="1803" width="4.42578125" customWidth="1"/>
    <col min="1804" max="1804" width="14.140625" customWidth="1"/>
    <col min="2048" max="2048" width="5.28515625" customWidth="1"/>
    <col min="2049" max="2049" width="10.85546875" customWidth="1"/>
    <col min="2050" max="2050" width="13.42578125" customWidth="1"/>
    <col min="2051" max="2051" width="15.85546875" customWidth="1"/>
    <col min="2052" max="2052" width="9.7109375" bestFit="1" customWidth="1"/>
    <col min="2053" max="2054" width="11.7109375" customWidth="1"/>
    <col min="2055" max="2055" width="11.5703125" customWidth="1"/>
    <col min="2056" max="2056" width="12.140625" customWidth="1"/>
    <col min="2059" max="2059" width="4.42578125" customWidth="1"/>
    <col min="2060" max="2060" width="14.140625" customWidth="1"/>
    <col min="2304" max="2304" width="5.28515625" customWidth="1"/>
    <col min="2305" max="2305" width="10.85546875" customWidth="1"/>
    <col min="2306" max="2306" width="13.42578125" customWidth="1"/>
    <col min="2307" max="2307" width="15.85546875" customWidth="1"/>
    <col min="2308" max="2308" width="9.7109375" bestFit="1" customWidth="1"/>
    <col min="2309" max="2310" width="11.7109375" customWidth="1"/>
    <col min="2311" max="2311" width="11.5703125" customWidth="1"/>
    <col min="2312" max="2312" width="12.140625" customWidth="1"/>
    <col min="2315" max="2315" width="4.42578125" customWidth="1"/>
    <col min="2316" max="2316" width="14.140625" customWidth="1"/>
    <col min="2560" max="2560" width="5.28515625" customWidth="1"/>
    <col min="2561" max="2561" width="10.85546875" customWidth="1"/>
    <col min="2562" max="2562" width="13.42578125" customWidth="1"/>
    <col min="2563" max="2563" width="15.85546875" customWidth="1"/>
    <col min="2564" max="2564" width="9.7109375" bestFit="1" customWidth="1"/>
    <col min="2565" max="2566" width="11.7109375" customWidth="1"/>
    <col min="2567" max="2567" width="11.5703125" customWidth="1"/>
    <col min="2568" max="2568" width="12.140625" customWidth="1"/>
    <col min="2571" max="2571" width="4.42578125" customWidth="1"/>
    <col min="2572" max="2572" width="14.140625" customWidth="1"/>
    <col min="2816" max="2816" width="5.28515625" customWidth="1"/>
    <col min="2817" max="2817" width="10.85546875" customWidth="1"/>
    <col min="2818" max="2818" width="13.42578125" customWidth="1"/>
    <col min="2819" max="2819" width="15.85546875" customWidth="1"/>
    <col min="2820" max="2820" width="9.7109375" bestFit="1" customWidth="1"/>
    <col min="2821" max="2822" width="11.7109375" customWidth="1"/>
    <col min="2823" max="2823" width="11.5703125" customWidth="1"/>
    <col min="2824" max="2824" width="12.140625" customWidth="1"/>
    <col min="2827" max="2827" width="4.42578125" customWidth="1"/>
    <col min="2828" max="2828" width="14.140625" customWidth="1"/>
    <col min="3072" max="3072" width="5.28515625" customWidth="1"/>
    <col min="3073" max="3073" width="10.85546875" customWidth="1"/>
    <col min="3074" max="3074" width="13.42578125" customWidth="1"/>
    <col min="3075" max="3075" width="15.85546875" customWidth="1"/>
    <col min="3076" max="3076" width="9.7109375" bestFit="1" customWidth="1"/>
    <col min="3077" max="3078" width="11.7109375" customWidth="1"/>
    <col min="3079" max="3079" width="11.5703125" customWidth="1"/>
    <col min="3080" max="3080" width="12.140625" customWidth="1"/>
    <col min="3083" max="3083" width="4.42578125" customWidth="1"/>
    <col min="3084" max="3084" width="14.140625" customWidth="1"/>
    <col min="3328" max="3328" width="5.28515625" customWidth="1"/>
    <col min="3329" max="3329" width="10.85546875" customWidth="1"/>
    <col min="3330" max="3330" width="13.42578125" customWidth="1"/>
    <col min="3331" max="3331" width="15.85546875" customWidth="1"/>
    <col min="3332" max="3332" width="9.7109375" bestFit="1" customWidth="1"/>
    <col min="3333" max="3334" width="11.7109375" customWidth="1"/>
    <col min="3335" max="3335" width="11.5703125" customWidth="1"/>
    <col min="3336" max="3336" width="12.140625" customWidth="1"/>
    <col min="3339" max="3339" width="4.42578125" customWidth="1"/>
    <col min="3340" max="3340" width="14.140625" customWidth="1"/>
    <col min="3584" max="3584" width="5.28515625" customWidth="1"/>
    <col min="3585" max="3585" width="10.85546875" customWidth="1"/>
    <col min="3586" max="3586" width="13.42578125" customWidth="1"/>
    <col min="3587" max="3587" width="15.85546875" customWidth="1"/>
    <col min="3588" max="3588" width="9.7109375" bestFit="1" customWidth="1"/>
    <col min="3589" max="3590" width="11.7109375" customWidth="1"/>
    <col min="3591" max="3591" width="11.5703125" customWidth="1"/>
    <col min="3592" max="3592" width="12.140625" customWidth="1"/>
    <col min="3595" max="3595" width="4.42578125" customWidth="1"/>
    <col min="3596" max="3596" width="14.140625" customWidth="1"/>
    <col min="3840" max="3840" width="5.28515625" customWidth="1"/>
    <col min="3841" max="3841" width="10.85546875" customWidth="1"/>
    <col min="3842" max="3842" width="13.42578125" customWidth="1"/>
    <col min="3843" max="3843" width="15.85546875" customWidth="1"/>
    <col min="3844" max="3844" width="9.7109375" bestFit="1" customWidth="1"/>
    <col min="3845" max="3846" width="11.7109375" customWidth="1"/>
    <col min="3847" max="3847" width="11.5703125" customWidth="1"/>
    <col min="3848" max="3848" width="12.140625" customWidth="1"/>
    <col min="3851" max="3851" width="4.42578125" customWidth="1"/>
    <col min="3852" max="3852" width="14.140625" customWidth="1"/>
    <col min="4096" max="4096" width="5.28515625" customWidth="1"/>
    <col min="4097" max="4097" width="10.85546875" customWidth="1"/>
    <col min="4098" max="4098" width="13.42578125" customWidth="1"/>
    <col min="4099" max="4099" width="15.85546875" customWidth="1"/>
    <col min="4100" max="4100" width="9.7109375" bestFit="1" customWidth="1"/>
    <col min="4101" max="4102" width="11.7109375" customWidth="1"/>
    <col min="4103" max="4103" width="11.5703125" customWidth="1"/>
    <col min="4104" max="4104" width="12.140625" customWidth="1"/>
    <col min="4107" max="4107" width="4.42578125" customWidth="1"/>
    <col min="4108" max="4108" width="14.140625" customWidth="1"/>
    <col min="4352" max="4352" width="5.28515625" customWidth="1"/>
    <col min="4353" max="4353" width="10.85546875" customWidth="1"/>
    <col min="4354" max="4354" width="13.42578125" customWidth="1"/>
    <col min="4355" max="4355" width="15.85546875" customWidth="1"/>
    <col min="4356" max="4356" width="9.7109375" bestFit="1" customWidth="1"/>
    <col min="4357" max="4358" width="11.7109375" customWidth="1"/>
    <col min="4359" max="4359" width="11.5703125" customWidth="1"/>
    <col min="4360" max="4360" width="12.140625" customWidth="1"/>
    <col min="4363" max="4363" width="4.42578125" customWidth="1"/>
    <col min="4364" max="4364" width="14.140625" customWidth="1"/>
    <col min="4608" max="4608" width="5.28515625" customWidth="1"/>
    <col min="4609" max="4609" width="10.85546875" customWidth="1"/>
    <col min="4610" max="4610" width="13.42578125" customWidth="1"/>
    <col min="4611" max="4611" width="15.85546875" customWidth="1"/>
    <col min="4612" max="4612" width="9.7109375" bestFit="1" customWidth="1"/>
    <col min="4613" max="4614" width="11.7109375" customWidth="1"/>
    <col min="4615" max="4615" width="11.5703125" customWidth="1"/>
    <col min="4616" max="4616" width="12.140625" customWidth="1"/>
    <col min="4619" max="4619" width="4.42578125" customWidth="1"/>
    <col min="4620" max="4620" width="14.140625" customWidth="1"/>
    <col min="4864" max="4864" width="5.28515625" customWidth="1"/>
    <col min="4865" max="4865" width="10.85546875" customWidth="1"/>
    <col min="4866" max="4866" width="13.42578125" customWidth="1"/>
    <col min="4867" max="4867" width="15.85546875" customWidth="1"/>
    <col min="4868" max="4868" width="9.7109375" bestFit="1" customWidth="1"/>
    <col min="4869" max="4870" width="11.7109375" customWidth="1"/>
    <col min="4871" max="4871" width="11.5703125" customWidth="1"/>
    <col min="4872" max="4872" width="12.140625" customWidth="1"/>
    <col min="4875" max="4875" width="4.42578125" customWidth="1"/>
    <col min="4876" max="4876" width="14.140625" customWidth="1"/>
    <col min="5120" max="5120" width="5.28515625" customWidth="1"/>
    <col min="5121" max="5121" width="10.85546875" customWidth="1"/>
    <col min="5122" max="5122" width="13.42578125" customWidth="1"/>
    <col min="5123" max="5123" width="15.85546875" customWidth="1"/>
    <col min="5124" max="5124" width="9.7109375" bestFit="1" customWidth="1"/>
    <col min="5125" max="5126" width="11.7109375" customWidth="1"/>
    <col min="5127" max="5127" width="11.5703125" customWidth="1"/>
    <col min="5128" max="5128" width="12.140625" customWidth="1"/>
    <col min="5131" max="5131" width="4.42578125" customWidth="1"/>
    <col min="5132" max="5132" width="14.140625" customWidth="1"/>
    <col min="5376" max="5376" width="5.28515625" customWidth="1"/>
    <col min="5377" max="5377" width="10.85546875" customWidth="1"/>
    <col min="5378" max="5378" width="13.42578125" customWidth="1"/>
    <col min="5379" max="5379" width="15.85546875" customWidth="1"/>
    <col min="5380" max="5380" width="9.7109375" bestFit="1" customWidth="1"/>
    <col min="5381" max="5382" width="11.7109375" customWidth="1"/>
    <col min="5383" max="5383" width="11.5703125" customWidth="1"/>
    <col min="5384" max="5384" width="12.140625" customWidth="1"/>
    <col min="5387" max="5387" width="4.42578125" customWidth="1"/>
    <col min="5388" max="5388" width="14.140625" customWidth="1"/>
    <col min="5632" max="5632" width="5.28515625" customWidth="1"/>
    <col min="5633" max="5633" width="10.85546875" customWidth="1"/>
    <col min="5634" max="5634" width="13.42578125" customWidth="1"/>
    <col min="5635" max="5635" width="15.85546875" customWidth="1"/>
    <col min="5636" max="5636" width="9.7109375" bestFit="1" customWidth="1"/>
    <col min="5637" max="5638" width="11.7109375" customWidth="1"/>
    <col min="5639" max="5639" width="11.5703125" customWidth="1"/>
    <col min="5640" max="5640" width="12.140625" customWidth="1"/>
    <col min="5643" max="5643" width="4.42578125" customWidth="1"/>
    <col min="5644" max="5644" width="14.140625" customWidth="1"/>
    <col min="5888" max="5888" width="5.28515625" customWidth="1"/>
    <col min="5889" max="5889" width="10.85546875" customWidth="1"/>
    <col min="5890" max="5890" width="13.42578125" customWidth="1"/>
    <col min="5891" max="5891" width="15.85546875" customWidth="1"/>
    <col min="5892" max="5892" width="9.7109375" bestFit="1" customWidth="1"/>
    <col min="5893" max="5894" width="11.7109375" customWidth="1"/>
    <col min="5895" max="5895" width="11.5703125" customWidth="1"/>
    <col min="5896" max="5896" width="12.140625" customWidth="1"/>
    <col min="5899" max="5899" width="4.42578125" customWidth="1"/>
    <col min="5900" max="5900" width="14.140625" customWidth="1"/>
    <col min="6144" max="6144" width="5.28515625" customWidth="1"/>
    <col min="6145" max="6145" width="10.85546875" customWidth="1"/>
    <col min="6146" max="6146" width="13.42578125" customWidth="1"/>
    <col min="6147" max="6147" width="15.85546875" customWidth="1"/>
    <col min="6148" max="6148" width="9.7109375" bestFit="1" customWidth="1"/>
    <col min="6149" max="6150" width="11.7109375" customWidth="1"/>
    <col min="6151" max="6151" width="11.5703125" customWidth="1"/>
    <col min="6152" max="6152" width="12.140625" customWidth="1"/>
    <col min="6155" max="6155" width="4.42578125" customWidth="1"/>
    <col min="6156" max="6156" width="14.140625" customWidth="1"/>
    <col min="6400" max="6400" width="5.28515625" customWidth="1"/>
    <col min="6401" max="6401" width="10.85546875" customWidth="1"/>
    <col min="6402" max="6402" width="13.42578125" customWidth="1"/>
    <col min="6403" max="6403" width="15.85546875" customWidth="1"/>
    <col min="6404" max="6404" width="9.7109375" bestFit="1" customWidth="1"/>
    <col min="6405" max="6406" width="11.7109375" customWidth="1"/>
    <col min="6407" max="6407" width="11.5703125" customWidth="1"/>
    <col min="6408" max="6408" width="12.140625" customWidth="1"/>
    <col min="6411" max="6411" width="4.42578125" customWidth="1"/>
    <col min="6412" max="6412" width="14.140625" customWidth="1"/>
    <col min="6656" max="6656" width="5.28515625" customWidth="1"/>
    <col min="6657" max="6657" width="10.85546875" customWidth="1"/>
    <col min="6658" max="6658" width="13.42578125" customWidth="1"/>
    <col min="6659" max="6659" width="15.85546875" customWidth="1"/>
    <col min="6660" max="6660" width="9.7109375" bestFit="1" customWidth="1"/>
    <col min="6661" max="6662" width="11.7109375" customWidth="1"/>
    <col min="6663" max="6663" width="11.5703125" customWidth="1"/>
    <col min="6664" max="6664" width="12.140625" customWidth="1"/>
    <col min="6667" max="6667" width="4.42578125" customWidth="1"/>
    <col min="6668" max="6668" width="14.140625" customWidth="1"/>
    <col min="6912" max="6912" width="5.28515625" customWidth="1"/>
    <col min="6913" max="6913" width="10.85546875" customWidth="1"/>
    <col min="6914" max="6914" width="13.42578125" customWidth="1"/>
    <col min="6915" max="6915" width="15.85546875" customWidth="1"/>
    <col min="6916" max="6916" width="9.7109375" bestFit="1" customWidth="1"/>
    <col min="6917" max="6918" width="11.7109375" customWidth="1"/>
    <col min="6919" max="6919" width="11.5703125" customWidth="1"/>
    <col min="6920" max="6920" width="12.140625" customWidth="1"/>
    <col min="6923" max="6923" width="4.42578125" customWidth="1"/>
    <col min="6924" max="6924" width="14.140625" customWidth="1"/>
    <col min="7168" max="7168" width="5.28515625" customWidth="1"/>
    <col min="7169" max="7169" width="10.85546875" customWidth="1"/>
    <col min="7170" max="7170" width="13.42578125" customWidth="1"/>
    <col min="7171" max="7171" width="15.85546875" customWidth="1"/>
    <col min="7172" max="7172" width="9.7109375" bestFit="1" customWidth="1"/>
    <col min="7173" max="7174" width="11.7109375" customWidth="1"/>
    <col min="7175" max="7175" width="11.5703125" customWidth="1"/>
    <col min="7176" max="7176" width="12.140625" customWidth="1"/>
    <col min="7179" max="7179" width="4.42578125" customWidth="1"/>
    <col min="7180" max="7180" width="14.140625" customWidth="1"/>
    <col min="7424" max="7424" width="5.28515625" customWidth="1"/>
    <col min="7425" max="7425" width="10.85546875" customWidth="1"/>
    <col min="7426" max="7426" width="13.42578125" customWidth="1"/>
    <col min="7427" max="7427" width="15.85546875" customWidth="1"/>
    <col min="7428" max="7428" width="9.7109375" bestFit="1" customWidth="1"/>
    <col min="7429" max="7430" width="11.7109375" customWidth="1"/>
    <col min="7431" max="7431" width="11.5703125" customWidth="1"/>
    <col min="7432" max="7432" width="12.140625" customWidth="1"/>
    <col min="7435" max="7435" width="4.42578125" customWidth="1"/>
    <col min="7436" max="7436" width="14.140625" customWidth="1"/>
    <col min="7680" max="7680" width="5.28515625" customWidth="1"/>
    <col min="7681" max="7681" width="10.85546875" customWidth="1"/>
    <col min="7682" max="7682" width="13.42578125" customWidth="1"/>
    <col min="7683" max="7683" width="15.85546875" customWidth="1"/>
    <col min="7684" max="7684" width="9.7109375" bestFit="1" customWidth="1"/>
    <col min="7685" max="7686" width="11.7109375" customWidth="1"/>
    <col min="7687" max="7687" width="11.5703125" customWidth="1"/>
    <col min="7688" max="7688" width="12.140625" customWidth="1"/>
    <col min="7691" max="7691" width="4.42578125" customWidth="1"/>
    <col min="7692" max="7692" width="14.140625" customWidth="1"/>
    <col min="7936" max="7936" width="5.28515625" customWidth="1"/>
    <col min="7937" max="7937" width="10.85546875" customWidth="1"/>
    <col min="7938" max="7938" width="13.42578125" customWidth="1"/>
    <col min="7939" max="7939" width="15.85546875" customWidth="1"/>
    <col min="7940" max="7940" width="9.7109375" bestFit="1" customWidth="1"/>
    <col min="7941" max="7942" width="11.7109375" customWidth="1"/>
    <col min="7943" max="7943" width="11.5703125" customWidth="1"/>
    <col min="7944" max="7944" width="12.140625" customWidth="1"/>
    <col min="7947" max="7947" width="4.42578125" customWidth="1"/>
    <col min="7948" max="7948" width="14.140625" customWidth="1"/>
    <col min="8192" max="8192" width="5.28515625" customWidth="1"/>
    <col min="8193" max="8193" width="10.85546875" customWidth="1"/>
    <col min="8194" max="8194" width="13.42578125" customWidth="1"/>
    <col min="8195" max="8195" width="15.85546875" customWidth="1"/>
    <col min="8196" max="8196" width="9.7109375" bestFit="1" customWidth="1"/>
    <col min="8197" max="8198" width="11.7109375" customWidth="1"/>
    <col min="8199" max="8199" width="11.5703125" customWidth="1"/>
    <col min="8200" max="8200" width="12.140625" customWidth="1"/>
    <col min="8203" max="8203" width="4.42578125" customWidth="1"/>
    <col min="8204" max="8204" width="14.140625" customWidth="1"/>
    <col min="8448" max="8448" width="5.28515625" customWidth="1"/>
    <col min="8449" max="8449" width="10.85546875" customWidth="1"/>
    <col min="8450" max="8450" width="13.42578125" customWidth="1"/>
    <col min="8451" max="8451" width="15.85546875" customWidth="1"/>
    <col min="8452" max="8452" width="9.7109375" bestFit="1" customWidth="1"/>
    <col min="8453" max="8454" width="11.7109375" customWidth="1"/>
    <col min="8455" max="8455" width="11.5703125" customWidth="1"/>
    <col min="8456" max="8456" width="12.140625" customWidth="1"/>
    <col min="8459" max="8459" width="4.42578125" customWidth="1"/>
    <col min="8460" max="8460" width="14.140625" customWidth="1"/>
    <col min="8704" max="8704" width="5.28515625" customWidth="1"/>
    <col min="8705" max="8705" width="10.85546875" customWidth="1"/>
    <col min="8706" max="8706" width="13.42578125" customWidth="1"/>
    <col min="8707" max="8707" width="15.85546875" customWidth="1"/>
    <col min="8708" max="8708" width="9.7109375" bestFit="1" customWidth="1"/>
    <col min="8709" max="8710" width="11.7109375" customWidth="1"/>
    <col min="8711" max="8711" width="11.5703125" customWidth="1"/>
    <col min="8712" max="8712" width="12.140625" customWidth="1"/>
    <col min="8715" max="8715" width="4.42578125" customWidth="1"/>
    <col min="8716" max="8716" width="14.140625" customWidth="1"/>
    <col min="8960" max="8960" width="5.28515625" customWidth="1"/>
    <col min="8961" max="8961" width="10.85546875" customWidth="1"/>
    <col min="8962" max="8962" width="13.42578125" customWidth="1"/>
    <col min="8963" max="8963" width="15.85546875" customWidth="1"/>
    <col min="8964" max="8964" width="9.7109375" bestFit="1" customWidth="1"/>
    <col min="8965" max="8966" width="11.7109375" customWidth="1"/>
    <col min="8967" max="8967" width="11.5703125" customWidth="1"/>
    <col min="8968" max="8968" width="12.140625" customWidth="1"/>
    <col min="8971" max="8971" width="4.42578125" customWidth="1"/>
    <col min="8972" max="8972" width="14.140625" customWidth="1"/>
    <col min="9216" max="9216" width="5.28515625" customWidth="1"/>
    <col min="9217" max="9217" width="10.85546875" customWidth="1"/>
    <col min="9218" max="9218" width="13.42578125" customWidth="1"/>
    <col min="9219" max="9219" width="15.85546875" customWidth="1"/>
    <col min="9220" max="9220" width="9.7109375" bestFit="1" customWidth="1"/>
    <col min="9221" max="9222" width="11.7109375" customWidth="1"/>
    <col min="9223" max="9223" width="11.5703125" customWidth="1"/>
    <col min="9224" max="9224" width="12.140625" customWidth="1"/>
    <col min="9227" max="9227" width="4.42578125" customWidth="1"/>
    <col min="9228" max="9228" width="14.140625" customWidth="1"/>
    <col min="9472" max="9472" width="5.28515625" customWidth="1"/>
    <col min="9473" max="9473" width="10.85546875" customWidth="1"/>
    <col min="9474" max="9474" width="13.42578125" customWidth="1"/>
    <col min="9475" max="9475" width="15.85546875" customWidth="1"/>
    <col min="9476" max="9476" width="9.7109375" bestFit="1" customWidth="1"/>
    <col min="9477" max="9478" width="11.7109375" customWidth="1"/>
    <col min="9479" max="9479" width="11.5703125" customWidth="1"/>
    <col min="9480" max="9480" width="12.140625" customWidth="1"/>
    <col min="9483" max="9483" width="4.42578125" customWidth="1"/>
    <col min="9484" max="9484" width="14.140625" customWidth="1"/>
    <col min="9728" max="9728" width="5.28515625" customWidth="1"/>
    <col min="9729" max="9729" width="10.85546875" customWidth="1"/>
    <col min="9730" max="9730" width="13.42578125" customWidth="1"/>
    <col min="9731" max="9731" width="15.85546875" customWidth="1"/>
    <col min="9732" max="9732" width="9.7109375" bestFit="1" customWidth="1"/>
    <col min="9733" max="9734" width="11.7109375" customWidth="1"/>
    <col min="9735" max="9735" width="11.5703125" customWidth="1"/>
    <col min="9736" max="9736" width="12.140625" customWidth="1"/>
    <col min="9739" max="9739" width="4.42578125" customWidth="1"/>
    <col min="9740" max="9740" width="14.140625" customWidth="1"/>
    <col min="9984" max="9984" width="5.28515625" customWidth="1"/>
    <col min="9985" max="9985" width="10.85546875" customWidth="1"/>
    <col min="9986" max="9986" width="13.42578125" customWidth="1"/>
    <col min="9987" max="9987" width="15.85546875" customWidth="1"/>
    <col min="9988" max="9988" width="9.7109375" bestFit="1" customWidth="1"/>
    <col min="9989" max="9990" width="11.7109375" customWidth="1"/>
    <col min="9991" max="9991" width="11.5703125" customWidth="1"/>
    <col min="9992" max="9992" width="12.140625" customWidth="1"/>
    <col min="9995" max="9995" width="4.42578125" customWidth="1"/>
    <col min="9996" max="9996" width="14.140625" customWidth="1"/>
    <col min="10240" max="10240" width="5.28515625" customWidth="1"/>
    <col min="10241" max="10241" width="10.85546875" customWidth="1"/>
    <col min="10242" max="10242" width="13.42578125" customWidth="1"/>
    <col min="10243" max="10243" width="15.85546875" customWidth="1"/>
    <col min="10244" max="10244" width="9.7109375" bestFit="1" customWidth="1"/>
    <col min="10245" max="10246" width="11.7109375" customWidth="1"/>
    <col min="10247" max="10247" width="11.5703125" customWidth="1"/>
    <col min="10248" max="10248" width="12.140625" customWidth="1"/>
    <col min="10251" max="10251" width="4.42578125" customWidth="1"/>
    <col min="10252" max="10252" width="14.140625" customWidth="1"/>
    <col min="10496" max="10496" width="5.28515625" customWidth="1"/>
    <col min="10497" max="10497" width="10.85546875" customWidth="1"/>
    <col min="10498" max="10498" width="13.42578125" customWidth="1"/>
    <col min="10499" max="10499" width="15.85546875" customWidth="1"/>
    <col min="10500" max="10500" width="9.7109375" bestFit="1" customWidth="1"/>
    <col min="10501" max="10502" width="11.7109375" customWidth="1"/>
    <col min="10503" max="10503" width="11.5703125" customWidth="1"/>
    <col min="10504" max="10504" width="12.140625" customWidth="1"/>
    <col min="10507" max="10507" width="4.42578125" customWidth="1"/>
    <col min="10508" max="10508" width="14.140625" customWidth="1"/>
    <col min="10752" max="10752" width="5.28515625" customWidth="1"/>
    <col min="10753" max="10753" width="10.85546875" customWidth="1"/>
    <col min="10754" max="10754" width="13.42578125" customWidth="1"/>
    <col min="10755" max="10755" width="15.85546875" customWidth="1"/>
    <col min="10756" max="10756" width="9.7109375" bestFit="1" customWidth="1"/>
    <col min="10757" max="10758" width="11.7109375" customWidth="1"/>
    <col min="10759" max="10759" width="11.5703125" customWidth="1"/>
    <col min="10760" max="10760" width="12.140625" customWidth="1"/>
    <col min="10763" max="10763" width="4.42578125" customWidth="1"/>
    <col min="10764" max="10764" width="14.140625" customWidth="1"/>
    <col min="11008" max="11008" width="5.28515625" customWidth="1"/>
    <col min="11009" max="11009" width="10.85546875" customWidth="1"/>
    <col min="11010" max="11010" width="13.42578125" customWidth="1"/>
    <col min="11011" max="11011" width="15.85546875" customWidth="1"/>
    <col min="11012" max="11012" width="9.7109375" bestFit="1" customWidth="1"/>
    <col min="11013" max="11014" width="11.7109375" customWidth="1"/>
    <col min="11015" max="11015" width="11.5703125" customWidth="1"/>
    <col min="11016" max="11016" width="12.140625" customWidth="1"/>
    <col min="11019" max="11019" width="4.42578125" customWidth="1"/>
    <col min="11020" max="11020" width="14.140625" customWidth="1"/>
    <col min="11264" max="11264" width="5.28515625" customWidth="1"/>
    <col min="11265" max="11265" width="10.85546875" customWidth="1"/>
    <col min="11266" max="11266" width="13.42578125" customWidth="1"/>
    <col min="11267" max="11267" width="15.85546875" customWidth="1"/>
    <col min="11268" max="11268" width="9.7109375" bestFit="1" customWidth="1"/>
    <col min="11269" max="11270" width="11.7109375" customWidth="1"/>
    <col min="11271" max="11271" width="11.5703125" customWidth="1"/>
    <col min="11272" max="11272" width="12.140625" customWidth="1"/>
    <col min="11275" max="11275" width="4.42578125" customWidth="1"/>
    <col min="11276" max="11276" width="14.140625" customWidth="1"/>
    <col min="11520" max="11520" width="5.28515625" customWidth="1"/>
    <col min="11521" max="11521" width="10.85546875" customWidth="1"/>
    <col min="11522" max="11522" width="13.42578125" customWidth="1"/>
    <col min="11523" max="11523" width="15.85546875" customWidth="1"/>
    <col min="11524" max="11524" width="9.7109375" bestFit="1" customWidth="1"/>
    <col min="11525" max="11526" width="11.7109375" customWidth="1"/>
    <col min="11527" max="11527" width="11.5703125" customWidth="1"/>
    <col min="11528" max="11528" width="12.140625" customWidth="1"/>
    <col min="11531" max="11531" width="4.42578125" customWidth="1"/>
    <col min="11532" max="11532" width="14.140625" customWidth="1"/>
    <col min="11776" max="11776" width="5.28515625" customWidth="1"/>
    <col min="11777" max="11777" width="10.85546875" customWidth="1"/>
    <col min="11778" max="11778" width="13.42578125" customWidth="1"/>
    <col min="11779" max="11779" width="15.85546875" customWidth="1"/>
    <col min="11780" max="11780" width="9.7109375" bestFit="1" customWidth="1"/>
    <col min="11781" max="11782" width="11.7109375" customWidth="1"/>
    <col min="11783" max="11783" width="11.5703125" customWidth="1"/>
    <col min="11784" max="11784" width="12.140625" customWidth="1"/>
    <col min="11787" max="11787" width="4.42578125" customWidth="1"/>
    <col min="11788" max="11788" width="14.140625" customWidth="1"/>
    <col min="12032" max="12032" width="5.28515625" customWidth="1"/>
    <col min="12033" max="12033" width="10.85546875" customWidth="1"/>
    <col min="12034" max="12034" width="13.42578125" customWidth="1"/>
    <col min="12035" max="12035" width="15.85546875" customWidth="1"/>
    <col min="12036" max="12036" width="9.7109375" bestFit="1" customWidth="1"/>
    <col min="12037" max="12038" width="11.7109375" customWidth="1"/>
    <col min="12039" max="12039" width="11.5703125" customWidth="1"/>
    <col min="12040" max="12040" width="12.140625" customWidth="1"/>
    <col min="12043" max="12043" width="4.42578125" customWidth="1"/>
    <col min="12044" max="12044" width="14.140625" customWidth="1"/>
    <col min="12288" max="12288" width="5.28515625" customWidth="1"/>
    <col min="12289" max="12289" width="10.85546875" customWidth="1"/>
    <col min="12290" max="12290" width="13.42578125" customWidth="1"/>
    <col min="12291" max="12291" width="15.85546875" customWidth="1"/>
    <col min="12292" max="12292" width="9.7109375" bestFit="1" customWidth="1"/>
    <col min="12293" max="12294" width="11.7109375" customWidth="1"/>
    <col min="12295" max="12295" width="11.5703125" customWidth="1"/>
    <col min="12296" max="12296" width="12.140625" customWidth="1"/>
    <col min="12299" max="12299" width="4.42578125" customWidth="1"/>
    <col min="12300" max="12300" width="14.140625" customWidth="1"/>
    <col min="12544" max="12544" width="5.28515625" customWidth="1"/>
    <col min="12545" max="12545" width="10.85546875" customWidth="1"/>
    <col min="12546" max="12546" width="13.42578125" customWidth="1"/>
    <col min="12547" max="12547" width="15.85546875" customWidth="1"/>
    <col min="12548" max="12548" width="9.7109375" bestFit="1" customWidth="1"/>
    <col min="12549" max="12550" width="11.7109375" customWidth="1"/>
    <col min="12551" max="12551" width="11.5703125" customWidth="1"/>
    <col min="12552" max="12552" width="12.140625" customWidth="1"/>
    <col min="12555" max="12555" width="4.42578125" customWidth="1"/>
    <col min="12556" max="12556" width="14.140625" customWidth="1"/>
    <col min="12800" max="12800" width="5.28515625" customWidth="1"/>
    <col min="12801" max="12801" width="10.85546875" customWidth="1"/>
    <col min="12802" max="12802" width="13.42578125" customWidth="1"/>
    <col min="12803" max="12803" width="15.85546875" customWidth="1"/>
    <col min="12804" max="12804" width="9.7109375" bestFit="1" customWidth="1"/>
    <col min="12805" max="12806" width="11.7109375" customWidth="1"/>
    <col min="12807" max="12807" width="11.5703125" customWidth="1"/>
    <col min="12808" max="12808" width="12.140625" customWidth="1"/>
    <col min="12811" max="12811" width="4.42578125" customWidth="1"/>
    <col min="12812" max="12812" width="14.140625" customWidth="1"/>
    <col min="13056" max="13056" width="5.28515625" customWidth="1"/>
    <col min="13057" max="13057" width="10.85546875" customWidth="1"/>
    <col min="13058" max="13058" width="13.42578125" customWidth="1"/>
    <col min="13059" max="13059" width="15.85546875" customWidth="1"/>
    <col min="13060" max="13060" width="9.7109375" bestFit="1" customWidth="1"/>
    <col min="13061" max="13062" width="11.7109375" customWidth="1"/>
    <col min="13063" max="13063" width="11.5703125" customWidth="1"/>
    <col min="13064" max="13064" width="12.140625" customWidth="1"/>
    <col min="13067" max="13067" width="4.42578125" customWidth="1"/>
    <col min="13068" max="13068" width="14.140625" customWidth="1"/>
    <col min="13312" max="13312" width="5.28515625" customWidth="1"/>
    <col min="13313" max="13313" width="10.85546875" customWidth="1"/>
    <col min="13314" max="13314" width="13.42578125" customWidth="1"/>
    <col min="13315" max="13315" width="15.85546875" customWidth="1"/>
    <col min="13316" max="13316" width="9.7109375" bestFit="1" customWidth="1"/>
    <col min="13317" max="13318" width="11.7109375" customWidth="1"/>
    <col min="13319" max="13319" width="11.5703125" customWidth="1"/>
    <col min="13320" max="13320" width="12.140625" customWidth="1"/>
    <col min="13323" max="13323" width="4.42578125" customWidth="1"/>
    <col min="13324" max="13324" width="14.140625" customWidth="1"/>
    <col min="13568" max="13568" width="5.28515625" customWidth="1"/>
    <col min="13569" max="13569" width="10.85546875" customWidth="1"/>
    <col min="13570" max="13570" width="13.42578125" customWidth="1"/>
    <col min="13571" max="13571" width="15.85546875" customWidth="1"/>
    <col min="13572" max="13572" width="9.7109375" bestFit="1" customWidth="1"/>
    <col min="13573" max="13574" width="11.7109375" customWidth="1"/>
    <col min="13575" max="13575" width="11.5703125" customWidth="1"/>
    <col min="13576" max="13576" width="12.140625" customWidth="1"/>
    <col min="13579" max="13579" width="4.42578125" customWidth="1"/>
    <col min="13580" max="13580" width="14.140625" customWidth="1"/>
    <col min="13824" max="13824" width="5.28515625" customWidth="1"/>
    <col min="13825" max="13825" width="10.85546875" customWidth="1"/>
    <col min="13826" max="13826" width="13.42578125" customWidth="1"/>
    <col min="13827" max="13827" width="15.85546875" customWidth="1"/>
    <col min="13828" max="13828" width="9.7109375" bestFit="1" customWidth="1"/>
    <col min="13829" max="13830" width="11.7109375" customWidth="1"/>
    <col min="13831" max="13831" width="11.5703125" customWidth="1"/>
    <col min="13832" max="13832" width="12.140625" customWidth="1"/>
    <col min="13835" max="13835" width="4.42578125" customWidth="1"/>
    <col min="13836" max="13836" width="14.140625" customWidth="1"/>
    <col min="14080" max="14080" width="5.28515625" customWidth="1"/>
    <col min="14081" max="14081" width="10.85546875" customWidth="1"/>
    <col min="14082" max="14082" width="13.42578125" customWidth="1"/>
    <col min="14083" max="14083" width="15.85546875" customWidth="1"/>
    <col min="14084" max="14084" width="9.7109375" bestFit="1" customWidth="1"/>
    <col min="14085" max="14086" width="11.7109375" customWidth="1"/>
    <col min="14087" max="14087" width="11.5703125" customWidth="1"/>
    <col min="14088" max="14088" width="12.140625" customWidth="1"/>
    <col min="14091" max="14091" width="4.42578125" customWidth="1"/>
    <col min="14092" max="14092" width="14.140625" customWidth="1"/>
    <col min="14336" max="14336" width="5.28515625" customWidth="1"/>
    <col min="14337" max="14337" width="10.85546875" customWidth="1"/>
    <col min="14338" max="14338" width="13.42578125" customWidth="1"/>
    <col min="14339" max="14339" width="15.85546875" customWidth="1"/>
    <col min="14340" max="14340" width="9.7109375" bestFit="1" customWidth="1"/>
    <col min="14341" max="14342" width="11.7109375" customWidth="1"/>
    <col min="14343" max="14343" width="11.5703125" customWidth="1"/>
    <col min="14344" max="14344" width="12.140625" customWidth="1"/>
    <col min="14347" max="14347" width="4.42578125" customWidth="1"/>
    <col min="14348" max="14348" width="14.140625" customWidth="1"/>
    <col min="14592" max="14592" width="5.28515625" customWidth="1"/>
    <col min="14593" max="14593" width="10.85546875" customWidth="1"/>
    <col min="14594" max="14594" width="13.42578125" customWidth="1"/>
    <col min="14595" max="14595" width="15.85546875" customWidth="1"/>
    <col min="14596" max="14596" width="9.7109375" bestFit="1" customWidth="1"/>
    <col min="14597" max="14598" width="11.7109375" customWidth="1"/>
    <col min="14599" max="14599" width="11.5703125" customWidth="1"/>
    <col min="14600" max="14600" width="12.140625" customWidth="1"/>
    <col min="14603" max="14603" width="4.42578125" customWidth="1"/>
    <col min="14604" max="14604" width="14.140625" customWidth="1"/>
    <col min="14848" max="14848" width="5.28515625" customWidth="1"/>
    <col min="14849" max="14849" width="10.85546875" customWidth="1"/>
    <col min="14850" max="14850" width="13.42578125" customWidth="1"/>
    <col min="14851" max="14851" width="15.85546875" customWidth="1"/>
    <col min="14852" max="14852" width="9.7109375" bestFit="1" customWidth="1"/>
    <col min="14853" max="14854" width="11.7109375" customWidth="1"/>
    <col min="14855" max="14855" width="11.5703125" customWidth="1"/>
    <col min="14856" max="14856" width="12.140625" customWidth="1"/>
    <col min="14859" max="14859" width="4.42578125" customWidth="1"/>
    <col min="14860" max="14860" width="14.140625" customWidth="1"/>
    <col min="15104" max="15104" width="5.28515625" customWidth="1"/>
    <col min="15105" max="15105" width="10.85546875" customWidth="1"/>
    <col min="15106" max="15106" width="13.42578125" customWidth="1"/>
    <col min="15107" max="15107" width="15.85546875" customWidth="1"/>
    <col min="15108" max="15108" width="9.7109375" bestFit="1" customWidth="1"/>
    <col min="15109" max="15110" width="11.7109375" customWidth="1"/>
    <col min="15111" max="15111" width="11.5703125" customWidth="1"/>
    <col min="15112" max="15112" width="12.140625" customWidth="1"/>
    <col min="15115" max="15115" width="4.42578125" customWidth="1"/>
    <col min="15116" max="15116" width="14.140625" customWidth="1"/>
    <col min="15360" max="15360" width="5.28515625" customWidth="1"/>
    <col min="15361" max="15361" width="10.85546875" customWidth="1"/>
    <col min="15362" max="15362" width="13.42578125" customWidth="1"/>
    <col min="15363" max="15363" width="15.85546875" customWidth="1"/>
    <col min="15364" max="15364" width="9.7109375" bestFit="1" customWidth="1"/>
    <col min="15365" max="15366" width="11.7109375" customWidth="1"/>
    <col min="15367" max="15367" width="11.5703125" customWidth="1"/>
    <col min="15368" max="15368" width="12.140625" customWidth="1"/>
    <col min="15371" max="15371" width="4.42578125" customWidth="1"/>
    <col min="15372" max="15372" width="14.140625" customWidth="1"/>
    <col min="15616" max="15616" width="5.28515625" customWidth="1"/>
    <col min="15617" max="15617" width="10.85546875" customWidth="1"/>
    <col min="15618" max="15618" width="13.42578125" customWidth="1"/>
    <col min="15619" max="15619" width="15.85546875" customWidth="1"/>
    <col min="15620" max="15620" width="9.7109375" bestFit="1" customWidth="1"/>
    <col min="15621" max="15622" width="11.7109375" customWidth="1"/>
    <col min="15623" max="15623" width="11.5703125" customWidth="1"/>
    <col min="15624" max="15624" width="12.140625" customWidth="1"/>
    <col min="15627" max="15627" width="4.42578125" customWidth="1"/>
    <col min="15628" max="15628" width="14.140625" customWidth="1"/>
    <col min="15872" max="15872" width="5.28515625" customWidth="1"/>
    <col min="15873" max="15873" width="10.85546875" customWidth="1"/>
    <col min="15874" max="15874" width="13.42578125" customWidth="1"/>
    <col min="15875" max="15875" width="15.85546875" customWidth="1"/>
    <col min="15876" max="15876" width="9.7109375" bestFit="1" customWidth="1"/>
    <col min="15877" max="15878" width="11.7109375" customWidth="1"/>
    <col min="15879" max="15879" width="11.5703125" customWidth="1"/>
    <col min="15880" max="15880" width="12.140625" customWidth="1"/>
    <col min="15883" max="15883" width="4.42578125" customWidth="1"/>
    <col min="15884" max="15884" width="14.140625" customWidth="1"/>
    <col min="16128" max="16128" width="5.28515625" customWidth="1"/>
    <col min="16129" max="16129" width="10.85546875" customWidth="1"/>
    <col min="16130" max="16130" width="13.42578125" customWidth="1"/>
    <col min="16131" max="16131" width="15.85546875" customWidth="1"/>
    <col min="16132" max="16132" width="9.7109375" bestFit="1" customWidth="1"/>
    <col min="16133" max="16134" width="11.7109375" customWidth="1"/>
    <col min="16135" max="16135" width="11.5703125" customWidth="1"/>
    <col min="16136" max="16136" width="12.140625" customWidth="1"/>
    <col min="16139" max="16139" width="4.42578125" customWidth="1"/>
    <col min="16140" max="16140" width="14.140625" customWidth="1"/>
  </cols>
  <sheetData>
    <row r="1" spans="1:19" s="500" customFormat="1" ht="20.100000000000001" customHeight="1">
      <c r="A1" s="1660" t="s">
        <v>643</v>
      </c>
      <c r="B1" s="1661"/>
      <c r="C1" s="1661"/>
      <c r="D1" s="1661"/>
      <c r="E1" s="1661"/>
      <c r="F1" s="1661"/>
      <c r="G1" s="1661"/>
      <c r="H1" s="1661"/>
      <c r="I1" s="1661"/>
      <c r="J1" s="1661"/>
      <c r="K1" s="1661"/>
      <c r="L1" s="1662"/>
    </row>
    <row r="2" spans="1:19" s="500" customFormat="1" ht="20.100000000000001" customHeight="1">
      <c r="A2" s="1663"/>
      <c r="B2" s="1663"/>
      <c r="C2" s="1663"/>
      <c r="D2" s="1663"/>
      <c r="E2" s="1663"/>
      <c r="F2" s="1663"/>
      <c r="G2" s="1663"/>
      <c r="H2" s="1663"/>
      <c r="I2" s="1663"/>
      <c r="J2" s="1663"/>
      <c r="K2" s="1663"/>
      <c r="L2" s="1663"/>
    </row>
    <row r="3" spans="1:19" s="500" customFormat="1" ht="20.100000000000001" customHeight="1">
      <c r="A3" s="551"/>
      <c r="B3" s="552" t="s">
        <v>644</v>
      </c>
      <c r="C3" s="552"/>
      <c r="D3" s="552"/>
      <c r="E3" s="552"/>
      <c r="F3" s="552"/>
      <c r="G3" s="552"/>
      <c r="H3" s="552"/>
      <c r="I3" s="552"/>
      <c r="J3" s="552"/>
      <c r="K3" s="552"/>
      <c r="L3" s="552"/>
    </row>
    <row r="4" spans="1:19" s="500" customFormat="1" ht="20.100000000000001" customHeight="1">
      <c r="A4" s="551"/>
      <c r="B4" s="552" t="s">
        <v>645</v>
      </c>
      <c r="C4" s="552"/>
      <c r="D4" s="552">
        <v>450</v>
      </c>
      <c r="E4" s="552" t="s">
        <v>646</v>
      </c>
      <c r="F4" s="552"/>
      <c r="G4" s="552"/>
      <c r="H4" s="552"/>
      <c r="I4" s="552"/>
      <c r="J4" s="552"/>
      <c r="K4" s="552"/>
      <c r="L4" s="552"/>
    </row>
    <row r="5" spans="1:19" s="500" customFormat="1" ht="20.100000000000001" customHeight="1">
      <c r="A5" s="551"/>
      <c r="B5" s="552" t="s">
        <v>647</v>
      </c>
      <c r="C5" s="552"/>
      <c r="D5" s="552">
        <v>75</v>
      </c>
      <c r="E5" s="552" t="s">
        <v>646</v>
      </c>
      <c r="F5" s="552"/>
      <c r="G5" s="552"/>
      <c r="H5" s="552"/>
      <c r="I5" s="552"/>
      <c r="J5" s="552"/>
      <c r="K5" s="552"/>
      <c r="L5" s="552"/>
    </row>
    <row r="6" spans="1:19" s="500" customFormat="1" ht="20.100000000000001" customHeight="1">
      <c r="A6" s="551"/>
      <c r="B6" s="552"/>
      <c r="C6" s="552"/>
      <c r="D6" s="552"/>
      <c r="E6" s="552"/>
      <c r="F6" s="552"/>
      <c r="G6" s="552"/>
      <c r="H6" s="552"/>
      <c r="I6" s="552"/>
      <c r="J6" s="552"/>
      <c r="K6" s="552"/>
      <c r="L6" s="552"/>
    </row>
    <row r="7" spans="1:19" s="500" customFormat="1" ht="20.100000000000001" customHeight="1">
      <c r="A7" s="551" t="s">
        <v>648</v>
      </c>
      <c r="B7" s="552" t="s">
        <v>649</v>
      </c>
      <c r="C7" s="552"/>
      <c r="D7" s="552">
        <f>D4</f>
        <v>450</v>
      </c>
      <c r="E7" s="552" t="s">
        <v>650</v>
      </c>
      <c r="F7" s="552"/>
      <c r="G7" s="552"/>
      <c r="H7" s="553"/>
      <c r="I7" s="552"/>
      <c r="J7" s="552"/>
      <c r="K7" s="552" t="s">
        <v>651</v>
      </c>
      <c r="L7" s="554">
        <v>2044</v>
      </c>
      <c r="N7" s="506"/>
      <c r="O7" s="506"/>
      <c r="P7" s="506"/>
      <c r="Q7" s="506"/>
      <c r="R7" s="506"/>
    </row>
    <row r="8" spans="1:19" s="500" customFormat="1" ht="20.100000000000001" customHeight="1">
      <c r="A8" s="551"/>
      <c r="B8" s="1664" t="s">
        <v>999</v>
      </c>
      <c r="C8" s="1664"/>
      <c r="D8" s="1664"/>
      <c r="E8" s="1664"/>
      <c r="F8" s="1664"/>
      <c r="G8" s="1664"/>
      <c r="H8" s="552"/>
      <c r="I8" s="552"/>
      <c r="J8" s="552"/>
      <c r="K8" s="552"/>
      <c r="L8" s="552"/>
    </row>
    <row r="9" spans="1:19" s="500" customFormat="1" ht="20.100000000000001" customHeight="1">
      <c r="A9" s="551"/>
      <c r="B9" s="552"/>
      <c r="C9" s="552"/>
      <c r="D9" s="552"/>
      <c r="E9" s="552"/>
      <c r="F9" s="552"/>
      <c r="G9" s="552"/>
      <c r="H9" s="552"/>
      <c r="I9" s="552"/>
      <c r="J9" s="552"/>
      <c r="K9" s="552"/>
      <c r="L9" s="552"/>
    </row>
    <row r="10" spans="1:19" s="500" customFormat="1" ht="20.100000000000001" customHeight="1">
      <c r="A10" s="551"/>
      <c r="B10" s="552"/>
      <c r="C10" s="552"/>
      <c r="D10" s="552"/>
      <c r="E10" s="552"/>
      <c r="F10" s="552"/>
      <c r="G10" s="552"/>
      <c r="H10" s="552"/>
      <c r="I10" s="552"/>
      <c r="J10" s="552"/>
      <c r="K10" s="552"/>
      <c r="L10" s="552"/>
    </row>
    <row r="11" spans="1:19" s="500" customFormat="1" ht="20.100000000000001" customHeight="1">
      <c r="A11" s="551" t="s">
        <v>653</v>
      </c>
      <c r="B11" s="555" t="s">
        <v>654</v>
      </c>
      <c r="C11" s="555"/>
      <c r="D11" s="555"/>
      <c r="E11" s="555"/>
      <c r="F11" s="555"/>
      <c r="G11" s="555"/>
      <c r="H11" s="552"/>
      <c r="I11" s="552"/>
      <c r="J11" s="552"/>
      <c r="K11" s="552"/>
      <c r="L11" s="552"/>
      <c r="N11" s="1454"/>
      <c r="O11" s="1454"/>
      <c r="P11" s="1454"/>
      <c r="Q11" s="1454"/>
      <c r="R11" s="1454"/>
      <c r="S11" s="1454"/>
    </row>
    <row r="12" spans="1:19" s="500" customFormat="1" ht="20.100000000000001" customHeight="1">
      <c r="A12" s="551"/>
      <c r="B12" s="555" t="s">
        <v>655</v>
      </c>
      <c r="C12" s="555">
        <v>3.79</v>
      </c>
      <c r="D12" s="555" t="s">
        <v>656</v>
      </c>
      <c r="E12" s="555"/>
      <c r="F12" s="1668" t="s">
        <v>657</v>
      </c>
      <c r="G12" s="1668"/>
      <c r="H12" s="552">
        <f>SUM(C12:C13)</f>
        <v>4.57</v>
      </c>
      <c r="I12" s="552" t="s">
        <v>658</v>
      </c>
      <c r="J12" s="552"/>
      <c r="K12" s="552"/>
      <c r="L12" s="552"/>
      <c r="N12" s="713"/>
      <c r="O12" s="713"/>
      <c r="P12" s="713"/>
      <c r="Q12" s="713"/>
      <c r="R12" s="713"/>
      <c r="S12" s="713"/>
    </row>
    <row r="13" spans="1:19" s="500" customFormat="1" ht="20.100000000000001" customHeight="1">
      <c r="A13" s="551"/>
      <c r="B13" s="555" t="s">
        <v>660</v>
      </c>
      <c r="C13" s="555">
        <v>0.78</v>
      </c>
      <c r="D13" s="555" t="s">
        <v>656</v>
      </c>
      <c r="E13" s="555"/>
      <c r="F13" s="555"/>
      <c r="G13" s="555"/>
      <c r="H13" s="552"/>
      <c r="I13" s="552"/>
      <c r="J13" s="552"/>
      <c r="K13" s="552"/>
      <c r="L13" s="552"/>
      <c r="N13" s="713"/>
      <c r="O13" s="713"/>
      <c r="P13" s="713"/>
      <c r="Q13" s="713"/>
      <c r="R13" s="713"/>
      <c r="S13" s="713"/>
    </row>
    <row r="14" spans="1:19" s="500" customFormat="1" ht="20.100000000000001" customHeight="1">
      <c r="A14" s="551"/>
      <c r="B14" s="556"/>
      <c r="C14" s="556"/>
      <c r="D14" s="556"/>
      <c r="E14" s="552"/>
      <c r="F14" s="552"/>
      <c r="G14" s="552"/>
      <c r="H14" s="552"/>
      <c r="I14" s="552"/>
      <c r="J14" s="552"/>
      <c r="K14" s="552"/>
      <c r="L14" s="552"/>
    </row>
    <row r="15" spans="1:19" s="500" customFormat="1" ht="20.100000000000001" customHeight="1">
      <c r="A15" s="551"/>
      <c r="B15" s="555" t="s">
        <v>661</v>
      </c>
      <c r="C15" s="717"/>
      <c r="D15" s="558"/>
      <c r="E15" s="558">
        <v>37000</v>
      </c>
      <c r="F15" s="554"/>
      <c r="G15" s="552" t="s">
        <v>662</v>
      </c>
      <c r="H15" s="552"/>
      <c r="I15" s="554"/>
      <c r="J15" s="552"/>
      <c r="K15" s="552"/>
      <c r="L15" s="552"/>
    </row>
    <row r="16" spans="1:19" s="500" customFormat="1" ht="20.100000000000001" customHeight="1">
      <c r="A16" s="551"/>
      <c r="B16" s="555" t="s">
        <v>663</v>
      </c>
      <c r="C16" s="717"/>
      <c r="D16" s="558"/>
      <c r="E16" s="558">
        <v>47000</v>
      </c>
      <c r="F16" s="554"/>
      <c r="G16" s="552" t="s">
        <v>664</v>
      </c>
      <c r="H16" s="552"/>
      <c r="I16" s="554"/>
      <c r="J16" s="552"/>
      <c r="K16" s="552"/>
      <c r="L16" s="552"/>
    </row>
    <row r="17" spans="1:14" s="500" customFormat="1" ht="18.75">
      <c r="A17" s="551"/>
      <c r="B17" s="552"/>
      <c r="C17" s="552" t="s">
        <v>665</v>
      </c>
      <c r="D17" s="717" t="s">
        <v>651</v>
      </c>
      <c r="E17" s="552"/>
      <c r="F17" s="559">
        <f>E15-E16</f>
        <v>-10000</v>
      </c>
      <c r="G17" s="1666">
        <f>-H12</f>
        <v>-4.57</v>
      </c>
      <c r="H17" s="560"/>
      <c r="I17" s="555"/>
      <c r="J17" s="552"/>
      <c r="K17" s="552" t="s">
        <v>651</v>
      </c>
      <c r="L17" s="561">
        <f>(E15-E16)/1000*H12</f>
        <v>-45.7</v>
      </c>
    </row>
    <row r="18" spans="1:14" s="500" customFormat="1" ht="18.75">
      <c r="A18" s="551"/>
      <c r="B18" s="552"/>
      <c r="C18" s="552"/>
      <c r="D18" s="552"/>
      <c r="E18" s="552"/>
      <c r="F18" s="562">
        <v>1000</v>
      </c>
      <c r="G18" s="1666"/>
      <c r="H18" s="714"/>
      <c r="I18" s="555"/>
      <c r="J18" s="552"/>
      <c r="K18" s="552"/>
      <c r="L18" s="552"/>
    </row>
    <row r="19" spans="1:14" s="500" customFormat="1" ht="18.75">
      <c r="A19" s="551"/>
      <c r="B19" s="552"/>
      <c r="C19" s="552"/>
      <c r="D19" s="552"/>
      <c r="E19" s="552"/>
      <c r="F19" s="552"/>
      <c r="G19" s="552"/>
      <c r="H19" s="552"/>
      <c r="I19" s="552"/>
      <c r="J19" s="552"/>
      <c r="K19" s="552"/>
      <c r="L19" s="552"/>
    </row>
    <row r="20" spans="1:14" s="500" customFormat="1" ht="18.75">
      <c r="A20" s="551"/>
      <c r="B20" s="1664"/>
      <c r="C20" s="1664"/>
      <c r="D20" s="1664"/>
      <c r="E20" s="1664"/>
      <c r="F20" s="1664"/>
      <c r="G20" s="1664"/>
      <c r="H20" s="1664"/>
      <c r="I20" s="552"/>
      <c r="J20" s="552"/>
      <c r="K20" s="552" t="s">
        <v>651</v>
      </c>
      <c r="L20" s="563">
        <f>L7+L17</f>
        <v>1998.3</v>
      </c>
    </row>
    <row r="21" spans="1:14" s="500" customFormat="1" ht="18.75">
      <c r="A21" s="551"/>
      <c r="B21" s="552"/>
      <c r="C21" s="552"/>
      <c r="D21" s="552"/>
      <c r="E21" s="552"/>
      <c r="F21" s="552"/>
      <c r="G21" s="552"/>
      <c r="H21" s="552"/>
      <c r="I21" s="552"/>
      <c r="J21" s="552"/>
      <c r="K21" s="552"/>
      <c r="L21" s="552"/>
    </row>
    <row r="22" spans="1:14" s="500" customFormat="1" ht="18.75">
      <c r="A22" s="551" t="s">
        <v>666</v>
      </c>
      <c r="B22" s="1664" t="s">
        <v>667</v>
      </c>
      <c r="C22" s="1664"/>
      <c r="D22" s="1664"/>
      <c r="E22" s="1664"/>
      <c r="F22" s="1664"/>
      <c r="G22" s="1664"/>
      <c r="H22" s="1664"/>
      <c r="I22" s="552"/>
      <c r="J22" s="552"/>
      <c r="K22" s="552"/>
      <c r="L22" s="563"/>
    </row>
    <row r="23" spans="1:14" s="500" customFormat="1" ht="18.75">
      <c r="A23" s="551"/>
      <c r="B23" s="552" t="s">
        <v>668</v>
      </c>
      <c r="C23" s="552"/>
      <c r="D23" s="555" t="s">
        <v>669</v>
      </c>
      <c r="E23" s="555">
        <f>(D4+D5/2)/1000</f>
        <v>0.48749999999999999</v>
      </c>
      <c r="F23" s="714" t="s">
        <v>163</v>
      </c>
      <c r="G23" s="555">
        <f>D5/1000</f>
        <v>7.4999999999999997E-2</v>
      </c>
      <c r="H23" s="555" t="s">
        <v>670</v>
      </c>
      <c r="I23" s="556"/>
      <c r="J23" s="564">
        <f>(22/7)*((D4+(D5/2))*D5*2.65)/1000000</f>
        <v>0.30451339285714285</v>
      </c>
      <c r="K23" s="555" t="s">
        <v>109</v>
      </c>
      <c r="L23" s="563"/>
    </row>
    <row r="24" spans="1:14" s="500" customFormat="1" ht="18.75">
      <c r="A24" s="551"/>
      <c r="B24" s="552" t="s">
        <v>671</v>
      </c>
      <c r="C24" s="552"/>
      <c r="D24" s="552"/>
      <c r="E24" s="552"/>
      <c r="F24" s="552"/>
      <c r="G24" s="555"/>
      <c r="H24" s="555"/>
      <c r="I24" s="552"/>
      <c r="J24" s="552"/>
      <c r="K24" s="552"/>
      <c r="L24" s="563"/>
    </row>
    <row r="25" spans="1:14" s="500" customFormat="1" ht="18.75">
      <c r="A25" s="551"/>
      <c r="B25" s="552">
        <f>J23</f>
        <v>0.30451339285714285</v>
      </c>
      <c r="C25" s="565" t="s">
        <v>672</v>
      </c>
      <c r="D25" s="565">
        <f>B25*7.2</f>
        <v>2.1924964285714288</v>
      </c>
      <c r="E25" s="552" t="s">
        <v>673</v>
      </c>
      <c r="F25" s="552"/>
      <c r="G25" s="558">
        <f>D25/2.5</f>
        <v>0.87699857142857152</v>
      </c>
      <c r="H25" s="552" t="s">
        <v>674</v>
      </c>
      <c r="I25" s="556"/>
      <c r="J25" s="556"/>
      <c r="K25" s="556"/>
      <c r="L25" s="556"/>
      <c r="N25" s="518"/>
    </row>
    <row r="26" spans="1:14" s="500" customFormat="1" ht="18.75">
      <c r="A26" s="551"/>
      <c r="B26" s="555" t="s">
        <v>675</v>
      </c>
      <c r="C26" s="554"/>
      <c r="D26" s="566"/>
      <c r="E26" s="566"/>
      <c r="F26" s="717" t="s">
        <v>676</v>
      </c>
      <c r="G26" s="558">
        <f>G25*50</f>
        <v>43.849928571428578</v>
      </c>
      <c r="H26" s="552" t="s">
        <v>658</v>
      </c>
      <c r="I26" s="552"/>
      <c r="J26" s="552"/>
      <c r="K26" s="552"/>
      <c r="L26" s="563"/>
    </row>
    <row r="27" spans="1:14" s="500" customFormat="1" ht="18.75">
      <c r="A27" s="551"/>
      <c r="B27" s="552"/>
      <c r="C27" s="552"/>
      <c r="D27" s="552"/>
      <c r="E27" s="552"/>
      <c r="F27" s="717"/>
      <c r="G27" s="339"/>
      <c r="H27" s="556"/>
      <c r="I27" s="552"/>
      <c r="J27" s="552"/>
      <c r="K27" s="552"/>
      <c r="L27" s="563"/>
    </row>
    <row r="28" spans="1:14" s="500" customFormat="1" ht="18.75">
      <c r="A28" s="551"/>
      <c r="B28" s="1664" t="s">
        <v>677</v>
      </c>
      <c r="C28" s="1664"/>
      <c r="D28" s="1664"/>
      <c r="E28" s="1664"/>
      <c r="F28" s="1664"/>
      <c r="G28" s="1664"/>
      <c r="H28" s="552"/>
      <c r="I28" s="552"/>
      <c r="J28" s="552"/>
      <c r="K28" s="552"/>
      <c r="L28" s="563"/>
    </row>
    <row r="29" spans="1:14" s="500" customFormat="1" ht="18.75">
      <c r="A29" s="551"/>
      <c r="B29" s="715" t="s">
        <v>678</v>
      </c>
      <c r="C29" s="715"/>
      <c r="D29" s="715"/>
      <c r="E29" s="562">
        <v>4300</v>
      </c>
      <c r="F29" s="715" t="s">
        <v>679</v>
      </c>
      <c r="G29" s="715"/>
      <c r="H29" s="552"/>
      <c r="I29" s="552"/>
      <c r="J29" s="552"/>
      <c r="K29" s="552"/>
      <c r="L29" s="563"/>
    </row>
    <row r="30" spans="1:14" s="500" customFormat="1" ht="18.75">
      <c r="A30" s="551"/>
      <c r="B30" s="715" t="s">
        <v>680</v>
      </c>
      <c r="C30" s="715"/>
      <c r="D30" s="715"/>
      <c r="E30" s="562">
        <v>5300</v>
      </c>
      <c r="F30" s="715" t="s">
        <v>679</v>
      </c>
      <c r="G30" s="715"/>
      <c r="H30" s="552"/>
      <c r="I30" s="552"/>
      <c r="J30" s="552"/>
      <c r="K30" s="552"/>
      <c r="L30" s="563"/>
    </row>
    <row r="31" spans="1:14" s="500" customFormat="1" ht="18.75">
      <c r="A31" s="551"/>
      <c r="B31" s="555"/>
      <c r="C31" s="555"/>
      <c r="D31" s="717"/>
      <c r="E31" s="717"/>
      <c r="F31" s="715"/>
      <c r="G31" s="339">
        <f>E29-E30</f>
        <v>-1000</v>
      </c>
      <c r="H31" s="1665">
        <f>G26</f>
        <v>43.849928571428578</v>
      </c>
      <c r="I31" s="714"/>
      <c r="J31" s="568"/>
      <c r="K31" s="552" t="s">
        <v>651</v>
      </c>
      <c r="L31" s="554">
        <f>G31/1000*H31</f>
        <v>-43.849928571428578</v>
      </c>
    </row>
    <row r="32" spans="1:14" s="500" customFormat="1" ht="18.75">
      <c r="A32" s="551"/>
      <c r="B32" s="552"/>
      <c r="C32" s="552"/>
      <c r="D32" s="552"/>
      <c r="E32" s="552"/>
      <c r="F32" s="552"/>
      <c r="G32" s="714">
        <v>1000</v>
      </c>
      <c r="H32" s="1666"/>
      <c r="I32" s="714"/>
      <c r="J32" s="552"/>
      <c r="K32" s="552"/>
      <c r="L32" s="552"/>
    </row>
    <row r="33" spans="1:18" s="500" customFormat="1" ht="18.75">
      <c r="A33" s="551"/>
      <c r="B33" s="552"/>
      <c r="C33" s="552"/>
      <c r="D33" s="552"/>
      <c r="E33" s="552"/>
      <c r="F33" s="552"/>
      <c r="G33" s="552"/>
      <c r="H33" s="552"/>
      <c r="I33" s="552"/>
      <c r="J33" s="552"/>
      <c r="K33" s="552"/>
      <c r="L33" s="552"/>
    </row>
    <row r="34" spans="1:18" s="500" customFormat="1" ht="18.75">
      <c r="A34" s="551"/>
      <c r="B34" s="552"/>
      <c r="C34" s="552"/>
      <c r="D34" s="552"/>
      <c r="E34" s="552"/>
      <c r="F34" s="552"/>
      <c r="G34" s="552"/>
      <c r="H34" s="552"/>
      <c r="I34" s="714"/>
      <c r="J34" s="552"/>
      <c r="K34" s="552"/>
      <c r="L34" s="554"/>
    </row>
    <row r="35" spans="1:18" s="500" customFormat="1" ht="18.75">
      <c r="A35" s="551" t="s">
        <v>681</v>
      </c>
      <c r="B35" s="556" t="s">
        <v>682</v>
      </c>
      <c r="C35" s="552"/>
      <c r="D35" s="552">
        <f>D4</f>
        <v>450</v>
      </c>
      <c r="E35" s="552" t="s">
        <v>683</v>
      </c>
      <c r="F35" s="552"/>
      <c r="G35" s="552"/>
      <c r="H35" s="552"/>
      <c r="I35" s="552"/>
      <c r="J35" s="552"/>
      <c r="K35" s="552"/>
      <c r="L35" s="563">
        <f>L31+L20</f>
        <v>1954.4500714285714</v>
      </c>
      <c r="O35" s="522"/>
    </row>
    <row r="36" spans="1:18" s="500" customFormat="1" ht="18.75">
      <c r="A36" s="551" t="s">
        <v>684</v>
      </c>
      <c r="B36" s="552" t="s">
        <v>709</v>
      </c>
      <c r="C36" s="552"/>
      <c r="D36" s="552"/>
      <c r="E36" s="552"/>
      <c r="F36" s="552"/>
      <c r="G36" s="552"/>
      <c r="H36" s="552"/>
      <c r="I36" s="552"/>
      <c r="J36" s="552"/>
      <c r="K36" s="552"/>
      <c r="L36" s="554">
        <f>84.9+15*3.94</f>
        <v>144</v>
      </c>
      <c r="N36" s="525" t="s">
        <v>685</v>
      </c>
      <c r="O36" s="525"/>
      <c r="P36" s="525"/>
      <c r="Q36" s="525"/>
      <c r="R36" s="525"/>
    </row>
    <row r="37" spans="1:18" s="500" customFormat="1" ht="18.75">
      <c r="A37" s="551"/>
      <c r="B37" s="552"/>
      <c r="C37" s="552"/>
      <c r="D37" s="552"/>
      <c r="E37" s="552"/>
      <c r="F37" s="552"/>
      <c r="G37" s="552"/>
      <c r="H37" s="552"/>
      <c r="I37" s="552"/>
      <c r="J37" s="1591" t="s">
        <v>686</v>
      </c>
      <c r="K37" s="1591"/>
      <c r="L37" s="563">
        <f>SUM(L35:L36)</f>
        <v>2098.4500714285714</v>
      </c>
    </row>
    <row r="38" spans="1:18" s="500" customFormat="1" ht="18.75">
      <c r="A38" s="551" t="s">
        <v>687</v>
      </c>
      <c r="B38" s="569">
        <v>0.13614999999999999</v>
      </c>
      <c r="C38" s="552" t="s">
        <v>688</v>
      </c>
      <c r="D38" s="552"/>
      <c r="E38" s="552"/>
      <c r="F38" s="552"/>
      <c r="G38" s="552"/>
      <c r="H38" s="552"/>
      <c r="I38" s="552"/>
      <c r="J38" s="552"/>
      <c r="K38" s="552"/>
      <c r="L38" s="554">
        <f>L37*13.615%</f>
        <v>285.70397722499996</v>
      </c>
    </row>
    <row r="39" spans="1:18" s="500" customFormat="1" ht="18.75">
      <c r="A39" s="551" t="s">
        <v>689</v>
      </c>
      <c r="B39" s="552" t="s">
        <v>690</v>
      </c>
      <c r="C39" s="552"/>
      <c r="D39" s="552"/>
      <c r="E39" s="552"/>
      <c r="F39" s="552"/>
      <c r="G39" s="552"/>
      <c r="H39" s="552"/>
      <c r="I39" s="552"/>
      <c r="J39" s="552"/>
      <c r="K39" s="552"/>
      <c r="L39" s="554">
        <f>H62</f>
        <v>280.25</v>
      </c>
    </row>
    <row r="40" spans="1:18" s="500" customFormat="1" ht="18.75">
      <c r="A40" s="551"/>
      <c r="B40" s="552"/>
      <c r="C40" s="552"/>
      <c r="D40" s="552"/>
      <c r="E40" s="552"/>
      <c r="F40" s="552"/>
      <c r="G40" s="552"/>
      <c r="H40" s="552"/>
      <c r="I40" s="552"/>
      <c r="J40" s="552"/>
      <c r="K40" s="552" t="s">
        <v>651</v>
      </c>
      <c r="L40" s="563">
        <f>SUM(L37:L39)</f>
        <v>2664.4040486535714</v>
      </c>
    </row>
    <row r="41" spans="1:18" s="500" customFormat="1" ht="18.75">
      <c r="A41" s="551"/>
      <c r="B41" s="552"/>
      <c r="C41" s="552"/>
      <c r="D41" s="552"/>
      <c r="E41" s="552"/>
      <c r="F41" s="552"/>
      <c r="G41" s="552"/>
      <c r="H41" s="552"/>
      <c r="I41" s="552"/>
      <c r="J41" s="553" t="s">
        <v>691</v>
      </c>
      <c r="K41" s="553" t="s">
        <v>692</v>
      </c>
      <c r="L41" s="563">
        <f>CEILING(L40,0.05)</f>
        <v>2664.4500000000003</v>
      </c>
    </row>
    <row r="42" spans="1:18" s="500" customFormat="1" ht="18.75">
      <c r="A42" s="551"/>
      <c r="B42" s="552"/>
      <c r="C42" s="552"/>
      <c r="D42" s="552"/>
      <c r="E42" s="552"/>
      <c r="F42" s="552"/>
      <c r="G42" s="552"/>
      <c r="H42" s="552"/>
      <c r="I42" s="552"/>
      <c r="J42" s="552"/>
      <c r="K42" s="552"/>
      <c r="L42" s="553" t="s">
        <v>693</v>
      </c>
    </row>
    <row r="43" spans="1:18">
      <c r="A43" s="570"/>
      <c r="B43" s="571"/>
      <c r="C43" s="571"/>
      <c r="D43" s="571"/>
      <c r="E43" s="571"/>
      <c r="F43" s="571"/>
      <c r="G43" s="571"/>
      <c r="H43" s="571"/>
      <c r="I43" s="571"/>
      <c r="J43" s="571"/>
      <c r="K43" s="571"/>
      <c r="L43" s="571"/>
    </row>
    <row r="44" spans="1:18" ht="18.75">
      <c r="A44" s="777"/>
      <c r="B44" s="552" t="s">
        <v>239</v>
      </c>
      <c r="C44" s="552"/>
      <c r="D44" s="552"/>
      <c r="E44" s="552"/>
      <c r="F44" s="552"/>
      <c r="G44" s="552"/>
      <c r="H44" s="552"/>
      <c r="I44" s="552"/>
      <c r="J44" s="552"/>
      <c r="K44" s="552"/>
      <c r="L44" s="552"/>
    </row>
    <row r="45" spans="1:18" ht="87" customHeight="1">
      <c r="A45" s="777"/>
      <c r="B45" s="552"/>
      <c r="C45" s="1670" t="s">
        <v>694</v>
      </c>
      <c r="D45" s="1671"/>
      <c r="E45" s="1671"/>
      <c r="F45" s="1671"/>
      <c r="G45" s="1671"/>
      <c r="H45" s="1672"/>
      <c r="I45" s="834"/>
      <c r="J45" s="834"/>
      <c r="K45" s="834"/>
      <c r="L45" s="835"/>
    </row>
    <row r="46" spans="1:18" ht="18.75">
      <c r="A46" s="777"/>
      <c r="B46" s="552"/>
      <c r="C46" s="552" t="s">
        <v>241</v>
      </c>
      <c r="D46" s="552"/>
      <c r="E46" s="552"/>
      <c r="F46" s="552"/>
      <c r="G46" s="552"/>
      <c r="H46" s="552"/>
      <c r="I46" s="552"/>
      <c r="J46" s="552"/>
      <c r="K46" s="552"/>
      <c r="L46" s="552"/>
    </row>
    <row r="47" spans="1:18" ht="18.75">
      <c r="A47" s="777"/>
      <c r="B47" s="552"/>
      <c r="C47" s="552" t="s">
        <v>695</v>
      </c>
      <c r="D47" s="552"/>
      <c r="E47" s="552"/>
      <c r="F47" s="552"/>
      <c r="G47" s="552"/>
      <c r="H47" s="552"/>
      <c r="I47" s="552"/>
      <c r="J47" s="552"/>
      <c r="K47" s="552"/>
      <c r="L47" s="552"/>
    </row>
    <row r="48" spans="1:18" ht="18.75">
      <c r="A48" s="777"/>
      <c r="B48" s="552"/>
      <c r="C48" s="552" t="s">
        <v>696</v>
      </c>
      <c r="D48" s="552"/>
      <c r="E48" s="552"/>
      <c r="F48" s="552"/>
      <c r="G48" s="552"/>
      <c r="H48" s="552"/>
      <c r="I48" s="552"/>
      <c r="J48" s="552"/>
      <c r="K48" s="552"/>
      <c r="L48" s="552"/>
    </row>
    <row r="49" spans="1:16" ht="18.75">
      <c r="A49" s="777"/>
      <c r="B49" s="552"/>
      <c r="C49" s="552" t="s">
        <v>697</v>
      </c>
      <c r="D49" s="552"/>
      <c r="E49" s="552" t="s">
        <v>698</v>
      </c>
      <c r="F49" s="552" t="s">
        <v>9</v>
      </c>
      <c r="G49" s="552" t="s">
        <v>294</v>
      </c>
      <c r="H49" s="552" t="s">
        <v>567</v>
      </c>
      <c r="I49" s="552"/>
      <c r="J49" s="552"/>
      <c r="K49" s="552"/>
      <c r="L49" s="552"/>
    </row>
    <row r="50" spans="1:16" ht="18.75">
      <c r="A50" s="777"/>
      <c r="B50" s="552"/>
      <c r="C50" s="552" t="s">
        <v>279</v>
      </c>
      <c r="D50" s="552"/>
      <c r="E50" s="552">
        <v>2.25</v>
      </c>
      <c r="F50" s="552" t="s">
        <v>18</v>
      </c>
      <c r="G50" s="554">
        <f>'Lead Chart 24-25'!C64</f>
        <v>645</v>
      </c>
      <c r="H50" s="554">
        <f>E50*G50</f>
        <v>1451.25</v>
      </c>
      <c r="I50" s="552"/>
      <c r="J50" s="552"/>
      <c r="K50" s="552"/>
      <c r="L50" s="552"/>
    </row>
    <row r="51" spans="1:16" ht="18.75">
      <c r="A51" s="777"/>
      <c r="B51" s="552"/>
      <c r="C51" s="552" t="s">
        <v>699</v>
      </c>
      <c r="D51" s="552"/>
      <c r="E51" s="552">
        <v>5.25</v>
      </c>
      <c r="F51" s="552" t="s">
        <v>18</v>
      </c>
      <c r="G51" s="554">
        <f>'Lead Chart 24-25'!C65</f>
        <v>615</v>
      </c>
      <c r="H51" s="554">
        <f t="shared" ref="H51:H56" si="0">E51*G51</f>
        <v>3228.75</v>
      </c>
      <c r="I51" s="552"/>
      <c r="J51" s="552"/>
      <c r="K51" s="552"/>
      <c r="L51" s="552"/>
    </row>
    <row r="52" spans="1:16" ht="18.75">
      <c r="A52" s="777"/>
      <c r="B52" s="552"/>
      <c r="C52" s="552" t="s">
        <v>700</v>
      </c>
      <c r="D52" s="552"/>
      <c r="E52" s="552">
        <v>15</v>
      </c>
      <c r="F52" s="552" t="s">
        <v>18</v>
      </c>
      <c r="G52" s="554">
        <f>'Lead Chart 24-25'!C63</f>
        <v>575</v>
      </c>
      <c r="H52" s="554">
        <f t="shared" si="0"/>
        <v>8625</v>
      </c>
      <c r="I52" s="552"/>
      <c r="J52" s="552"/>
      <c r="K52" s="552"/>
      <c r="L52" s="552"/>
    </row>
    <row r="53" spans="1:16" ht="18.75">
      <c r="A53" s="777"/>
      <c r="B53" s="552"/>
      <c r="C53" s="552" t="s">
        <v>701</v>
      </c>
      <c r="D53" s="552"/>
      <c r="E53" s="552">
        <v>3.3</v>
      </c>
      <c r="F53" s="552" t="s">
        <v>18</v>
      </c>
      <c r="G53" s="554">
        <f>'Lead Chart 24-25'!C63</f>
        <v>575</v>
      </c>
      <c r="H53" s="554">
        <f t="shared" si="0"/>
        <v>1897.5</v>
      </c>
      <c r="I53" s="552"/>
      <c r="J53" s="552"/>
      <c r="K53" s="552"/>
      <c r="L53" s="552"/>
    </row>
    <row r="54" spans="1:16" ht="18.75">
      <c r="A54" s="777"/>
      <c r="B54" s="552"/>
      <c r="C54" s="552"/>
      <c r="D54" s="552"/>
      <c r="E54" s="552"/>
      <c r="F54" s="552"/>
      <c r="G54" s="554"/>
      <c r="H54" s="554"/>
      <c r="I54" s="552"/>
      <c r="J54" s="552"/>
      <c r="K54" s="552"/>
      <c r="L54" s="552"/>
    </row>
    <row r="55" spans="1:16" ht="18.75">
      <c r="A55" s="777"/>
      <c r="B55" s="552"/>
      <c r="C55" s="552" t="s">
        <v>702</v>
      </c>
      <c r="D55" s="552"/>
      <c r="E55" s="552"/>
      <c r="F55" s="552"/>
      <c r="G55" s="554"/>
      <c r="H55" s="554"/>
      <c r="I55" s="552"/>
      <c r="J55" s="552"/>
      <c r="K55" s="552"/>
      <c r="L55" s="552"/>
    </row>
    <row r="56" spans="1:16" ht="18.75">
      <c r="A56" s="777"/>
      <c r="B56" s="552"/>
      <c r="C56" s="1669" t="s">
        <v>703</v>
      </c>
      <c r="D56" s="1669"/>
      <c r="E56" s="552">
        <v>40</v>
      </c>
      <c r="F56" s="552" t="s">
        <v>247</v>
      </c>
      <c r="G56" s="554">
        <v>265</v>
      </c>
      <c r="H56" s="554">
        <f t="shared" si="0"/>
        <v>10600</v>
      </c>
      <c r="I56" s="552"/>
      <c r="J56" s="552"/>
      <c r="K56" s="552"/>
      <c r="L56" s="552"/>
    </row>
    <row r="57" spans="1:16" ht="18.75">
      <c r="A57" s="777"/>
      <c r="B57" s="552"/>
      <c r="C57" s="552"/>
      <c r="D57" s="552"/>
      <c r="E57" s="552"/>
      <c r="F57" s="552"/>
      <c r="G57" s="552"/>
      <c r="H57" s="554"/>
      <c r="I57" s="552"/>
      <c r="J57" s="552"/>
      <c r="K57" s="552"/>
      <c r="L57" s="552"/>
    </row>
    <row r="58" spans="1:16" ht="18.75">
      <c r="A58" s="777"/>
      <c r="B58" s="552"/>
      <c r="C58" s="552" t="s">
        <v>704</v>
      </c>
      <c r="D58" s="552"/>
      <c r="E58" s="552"/>
      <c r="F58" s="552"/>
      <c r="G58" s="552"/>
      <c r="H58" s="554">
        <f>1%*SUM(H50:H53)</f>
        <v>152.02500000000001</v>
      </c>
      <c r="I58" s="552"/>
      <c r="J58" s="552"/>
      <c r="K58" s="552"/>
      <c r="L58" s="552"/>
    </row>
    <row r="59" spans="1:16" ht="18.75">
      <c r="A59" s="777"/>
      <c r="B59" s="552"/>
      <c r="C59" s="552" t="s">
        <v>705</v>
      </c>
      <c r="D59" s="552"/>
      <c r="E59" s="552"/>
      <c r="F59" s="552"/>
      <c r="G59" s="552"/>
      <c r="H59" s="554">
        <f>13.615%*SUM(H50:H53)</f>
        <v>2069.8203749999998</v>
      </c>
      <c r="I59" s="552"/>
      <c r="J59" s="552"/>
      <c r="K59" s="552"/>
      <c r="L59" s="552"/>
    </row>
    <row r="60" spans="1:16" ht="18.75">
      <c r="A60" s="777"/>
      <c r="B60" s="552"/>
      <c r="C60" s="552" t="s">
        <v>1073</v>
      </c>
      <c r="D60" s="552"/>
      <c r="E60" s="552"/>
      <c r="F60" s="552"/>
      <c r="G60" s="552"/>
      <c r="H60" s="554">
        <f>'Lead Chart 24-25'!J63*SUM(H50:H53)</f>
        <v>0</v>
      </c>
      <c r="I60" s="552"/>
      <c r="J60" s="552"/>
      <c r="K60" s="552"/>
      <c r="L60" s="552"/>
    </row>
    <row r="61" spans="1:16" ht="18.75">
      <c r="A61" s="777"/>
      <c r="B61" s="552"/>
      <c r="C61" s="552" t="s">
        <v>707</v>
      </c>
      <c r="D61" s="552"/>
      <c r="E61" s="552"/>
      <c r="F61" s="552"/>
      <c r="G61" s="552"/>
      <c r="H61" s="554">
        <f>SUM(H50:H60)</f>
        <v>28024.345375000001</v>
      </c>
      <c r="I61" s="552"/>
      <c r="J61" s="552"/>
      <c r="K61" s="552"/>
      <c r="L61" s="552"/>
    </row>
    <row r="62" spans="1:16" ht="18.75">
      <c r="A62" s="777"/>
      <c r="B62" s="552"/>
      <c r="C62" s="552" t="s">
        <v>708</v>
      </c>
      <c r="D62" s="552"/>
      <c r="E62" s="552"/>
      <c r="F62" s="552"/>
      <c r="G62" s="552"/>
      <c r="H62" s="563">
        <f>CEILING(H61/100,0.05)</f>
        <v>280.25</v>
      </c>
      <c r="I62" s="552"/>
      <c r="J62" s="552"/>
      <c r="K62" s="552"/>
      <c r="L62" s="552"/>
    </row>
    <row r="63" spans="1:16">
      <c r="P63">
        <f>284*40</f>
        <v>11360</v>
      </c>
    </row>
    <row r="65" spans="16:16">
      <c r="P65">
        <f>3*19000</f>
        <v>57000</v>
      </c>
    </row>
    <row r="66" spans="16:16">
      <c r="P66" s="545">
        <f>P63+P65</f>
        <v>68360</v>
      </c>
    </row>
  </sheetData>
  <mergeCells count="13">
    <mergeCell ref="A1:L1"/>
    <mergeCell ref="A2:L2"/>
    <mergeCell ref="B8:G8"/>
    <mergeCell ref="C56:D56"/>
    <mergeCell ref="B20:H20"/>
    <mergeCell ref="B22:H22"/>
    <mergeCell ref="B28:G28"/>
    <mergeCell ref="H31:H32"/>
    <mergeCell ref="N11:S11"/>
    <mergeCell ref="F12:G12"/>
    <mergeCell ref="G17:G18"/>
    <mergeCell ref="J37:K37"/>
    <mergeCell ref="C45:H45"/>
  </mergeCells>
  <printOptions horizontalCentered="1" gridLines="1"/>
  <pageMargins left="0.70866141732283472" right="0.70866141732283472" top="0.74803149606299213" bottom="0.74803149606299213" header="0.31496062992125984" footer="0.31496062992125984"/>
  <pageSetup paperSize="9" scale="90" orientation="landscape" horizontalDpi="300" verticalDpi="300" r:id="rId1"/>
</worksheet>
</file>

<file path=xl/worksheets/sheet35.xml><?xml version="1.0" encoding="utf-8"?>
<worksheet xmlns="http://schemas.openxmlformats.org/spreadsheetml/2006/main" xmlns:r="http://schemas.openxmlformats.org/officeDocument/2006/relationships">
  <dimension ref="A1:E15"/>
  <sheetViews>
    <sheetView workbookViewId="0">
      <selection activeCell="C5" sqref="C5"/>
    </sheetView>
  </sheetViews>
  <sheetFormatPr defaultColWidth="9.140625" defaultRowHeight="18.75"/>
  <cols>
    <col min="1" max="1" width="9.28515625" style="541" bestFit="1" customWidth="1"/>
    <col min="2" max="2" width="59.140625" style="541" bestFit="1" customWidth="1"/>
    <col min="3" max="3" width="18.42578125" style="541" bestFit="1" customWidth="1"/>
    <col min="4" max="6" width="9.140625" style="541"/>
    <col min="7" max="7" width="15.5703125" style="541" bestFit="1" customWidth="1"/>
    <col min="8" max="16384" width="9.140625" style="541"/>
  </cols>
  <sheetData>
    <row r="1" spans="1:5">
      <c r="A1" s="1673" t="s">
        <v>739</v>
      </c>
      <c r="B1" s="1673"/>
      <c r="C1" s="1673"/>
    </row>
    <row r="3" spans="1:5">
      <c r="A3" s="1674" t="s">
        <v>740</v>
      </c>
      <c r="B3" s="1674"/>
      <c r="C3" s="1674"/>
    </row>
    <row r="4" spans="1:5">
      <c r="A4" s="542" t="s">
        <v>728</v>
      </c>
      <c r="B4" s="542" t="s">
        <v>741</v>
      </c>
      <c r="C4" s="542" t="s">
        <v>742</v>
      </c>
    </row>
    <row r="5" spans="1:5" ht="37.5">
      <c r="A5" s="700">
        <v>1</v>
      </c>
      <c r="B5" s="776" t="s">
        <v>995</v>
      </c>
      <c r="C5" s="772">
        <f>' Estimate'!K91</f>
        <v>64222880</v>
      </c>
    </row>
    <row r="6" spans="1:5">
      <c r="A6" s="700"/>
      <c r="B6" s="771"/>
      <c r="C6" s="772"/>
    </row>
    <row r="7" spans="1:5">
      <c r="A7" s="771"/>
      <c r="B7" s="771" t="s">
        <v>743</v>
      </c>
      <c r="C7" s="771">
        <f>12%*C5</f>
        <v>7706745.5999999996</v>
      </c>
    </row>
    <row r="8" spans="1:5">
      <c r="A8" s="543"/>
      <c r="B8" s="771" t="s">
        <v>744</v>
      </c>
      <c r="C8" s="771">
        <f>0.1%*C5</f>
        <v>64222.880000000005</v>
      </c>
    </row>
    <row r="9" spans="1:5">
      <c r="A9" s="502"/>
      <c r="B9" s="771"/>
      <c r="C9" s="773">
        <f>SUM(C5:C8)</f>
        <v>71993848.479999989</v>
      </c>
    </row>
    <row r="10" spans="1:5">
      <c r="A10" s="544"/>
      <c r="B10" s="771" t="s">
        <v>745</v>
      </c>
      <c r="C10" s="771">
        <f>3%*C9</f>
        <v>2159815.4543999997</v>
      </c>
    </row>
    <row r="11" spans="1:5">
      <c r="A11" s="544"/>
      <c r="B11" s="771" t="s">
        <v>746</v>
      </c>
      <c r="C11" s="771">
        <f>5%*C9</f>
        <v>3599692.4239999996</v>
      </c>
    </row>
    <row r="12" spans="1:5">
      <c r="A12" s="544"/>
      <c r="B12" s="771" t="s">
        <v>750</v>
      </c>
      <c r="C12" s="773">
        <f>SUM(C9:C11)</f>
        <v>77753356.358399987</v>
      </c>
    </row>
    <row r="13" spans="1:5">
      <c r="A13" s="544"/>
      <c r="B13" s="771" t="s">
        <v>747</v>
      </c>
      <c r="C13" s="773">
        <f>C14-C12</f>
        <v>-63753356.358399987</v>
      </c>
    </row>
    <row r="14" spans="1:5">
      <c r="A14" s="544"/>
      <c r="B14" s="771" t="s">
        <v>748</v>
      </c>
      <c r="C14" s="771">
        <v>14000000</v>
      </c>
      <c r="E14" s="541" t="s">
        <v>295</v>
      </c>
    </row>
    <row r="15" spans="1:5">
      <c r="A15" s="544"/>
      <c r="B15" s="774" t="s">
        <v>749</v>
      </c>
      <c r="C15" s="775">
        <f>C14/10000000</f>
        <v>1.4</v>
      </c>
    </row>
  </sheetData>
  <mergeCells count="2">
    <mergeCell ref="A1:C1"/>
    <mergeCell ref="A3:C3"/>
  </mergeCells>
  <printOptions horizontalCentered="1"/>
  <pageMargins left="0.70866141732283472" right="0.70866141732283472" top="0.94488188976377963" bottom="0.74803149606299213" header="0.31496062992125984" footer="0.31496062992125984"/>
  <pageSetup paperSize="9" orientation="portrait" r:id="rId1"/>
</worksheet>
</file>

<file path=xl/worksheets/sheet36.xml><?xml version="1.0" encoding="utf-8"?>
<worksheet xmlns="http://schemas.openxmlformats.org/spreadsheetml/2006/main" xmlns:r="http://schemas.openxmlformats.org/officeDocument/2006/relationships">
  <dimension ref="A1:P106"/>
  <sheetViews>
    <sheetView view="pageBreakPreview" zoomScale="85" zoomScaleNormal="70" zoomScaleSheetLayoutView="85" workbookViewId="0">
      <selection activeCell="C7" sqref="C7"/>
    </sheetView>
  </sheetViews>
  <sheetFormatPr defaultColWidth="17.85546875" defaultRowHeight="12.75"/>
  <cols>
    <col min="1" max="1" width="7.140625" bestFit="1" customWidth="1"/>
    <col min="2" max="2" width="29.85546875" customWidth="1"/>
    <col min="3" max="3" width="10.140625" bestFit="1" customWidth="1"/>
    <col min="4" max="4" width="15.140625" customWidth="1"/>
    <col min="5" max="5" width="15" customWidth="1"/>
    <col min="6" max="6" width="12.140625" bestFit="1" customWidth="1"/>
    <col min="8" max="9" width="13.5703125" customWidth="1"/>
    <col min="10" max="10" width="12.28515625" customWidth="1"/>
    <col min="11" max="11" width="10.5703125" customWidth="1"/>
    <col min="12" max="12" width="12.28515625" customWidth="1"/>
    <col min="13" max="13" width="11.7109375" customWidth="1"/>
    <col min="14" max="14" width="14.5703125" customWidth="1"/>
  </cols>
  <sheetData>
    <row r="1" spans="1:16" ht="20.25">
      <c r="A1" s="1675" t="s">
        <v>890</v>
      </c>
      <c r="B1" s="1675"/>
      <c r="C1" s="1675"/>
      <c r="D1" s="1675"/>
      <c r="E1" s="1675"/>
      <c r="F1" s="1675"/>
      <c r="G1" s="1675"/>
      <c r="H1" s="1675"/>
      <c r="I1" s="1675"/>
      <c r="J1" s="1675"/>
      <c r="K1" s="1675"/>
      <c r="L1" s="1675"/>
      <c r="M1" s="1675"/>
      <c r="N1" s="1675"/>
    </row>
    <row r="2" spans="1:16" ht="52.5" customHeight="1">
      <c r="A2" s="1676" t="s">
        <v>766</v>
      </c>
      <c r="B2" s="1676"/>
      <c r="C2" s="1676"/>
      <c r="D2" s="1676"/>
      <c r="E2" s="1676"/>
      <c r="F2" s="1676"/>
      <c r="G2" s="608"/>
      <c r="H2" s="608"/>
      <c r="I2" s="608"/>
      <c r="J2" s="608"/>
      <c r="K2" s="608"/>
      <c r="L2" s="608"/>
      <c r="M2" s="619"/>
      <c r="N2" s="608"/>
    </row>
    <row r="3" spans="1:16" ht="32.25">
      <c r="A3" s="609"/>
      <c r="B3" s="609"/>
      <c r="C3" s="580" t="s">
        <v>767</v>
      </c>
      <c r="D3" s="580" t="s">
        <v>768</v>
      </c>
      <c r="E3" s="580" t="s">
        <v>769</v>
      </c>
      <c r="F3" s="609"/>
      <c r="G3" s="608"/>
      <c r="H3" s="608"/>
      <c r="I3" s="608"/>
      <c r="J3" s="608"/>
      <c r="K3" s="608"/>
      <c r="L3" s="608"/>
      <c r="M3" s="619"/>
      <c r="N3" s="608"/>
    </row>
    <row r="4" spans="1:16" ht="20.25">
      <c r="A4" s="609"/>
      <c r="B4" s="580" t="s">
        <v>770</v>
      </c>
      <c r="C4" s="581">
        <v>43.6</v>
      </c>
      <c r="D4" s="581">
        <v>42</v>
      </c>
      <c r="E4" s="581">
        <v>70</v>
      </c>
      <c r="F4" s="609"/>
      <c r="G4" s="608"/>
      <c r="H4" s="608"/>
      <c r="I4" s="608"/>
      <c r="J4" s="608"/>
      <c r="K4" s="608"/>
      <c r="L4" s="608"/>
      <c r="M4" s="619"/>
      <c r="N4" s="608"/>
    </row>
    <row r="5" spans="1:16" ht="20.25">
      <c r="A5" s="582"/>
      <c r="B5" s="583" t="s">
        <v>633</v>
      </c>
      <c r="C5" s="584">
        <v>116.2</v>
      </c>
      <c r="D5" s="584">
        <v>116.2</v>
      </c>
      <c r="E5" s="584">
        <v>186.7</v>
      </c>
      <c r="F5" s="582"/>
      <c r="G5" s="608"/>
      <c r="H5" s="608"/>
      <c r="I5" s="608"/>
      <c r="J5" s="608"/>
      <c r="K5" s="608"/>
      <c r="L5" s="608"/>
      <c r="M5" s="619"/>
      <c r="N5" s="608"/>
    </row>
    <row r="6" spans="1:16" ht="32.25">
      <c r="A6" s="582"/>
      <c r="B6" s="580" t="s">
        <v>634</v>
      </c>
      <c r="C6" s="584">
        <v>17.399999999999999</v>
      </c>
      <c r="D6" s="584">
        <v>17.399999999999999</v>
      </c>
      <c r="E6" s="584">
        <v>28</v>
      </c>
      <c r="F6" s="582"/>
      <c r="G6" s="608"/>
      <c r="H6" s="608"/>
      <c r="I6" s="608"/>
      <c r="J6" s="608"/>
      <c r="K6" s="608"/>
      <c r="L6" s="608"/>
      <c r="M6" s="619"/>
      <c r="N6" s="608"/>
    </row>
    <row r="7" spans="1:16" ht="32.25">
      <c r="A7" s="582"/>
      <c r="B7" s="580" t="s">
        <v>635</v>
      </c>
      <c r="C7" s="584">
        <v>14.5</v>
      </c>
      <c r="D7" s="584">
        <v>14.5</v>
      </c>
      <c r="E7" s="584">
        <v>23.3</v>
      </c>
      <c r="F7" s="582"/>
      <c r="G7" s="608"/>
      <c r="H7" s="608"/>
      <c r="I7" s="608"/>
      <c r="J7" s="608"/>
      <c r="K7" s="608"/>
      <c r="L7" s="608"/>
      <c r="M7" s="619"/>
      <c r="N7" s="608"/>
    </row>
    <row r="8" spans="1:16" ht="18.75">
      <c r="A8" s="585"/>
      <c r="B8" s="586"/>
      <c r="C8" s="585"/>
      <c r="D8" s="585"/>
      <c r="E8" s="585"/>
      <c r="F8" s="585"/>
      <c r="G8" s="585"/>
      <c r="H8" s="585"/>
      <c r="I8" s="1677"/>
      <c r="J8" s="1677"/>
      <c r="K8" s="613"/>
      <c r="L8" s="613"/>
      <c r="M8" s="613"/>
      <c r="N8" s="587"/>
    </row>
    <row r="9" spans="1:16" ht="63.75">
      <c r="A9" s="588" t="s">
        <v>758</v>
      </c>
      <c r="B9" s="589" t="s">
        <v>771</v>
      </c>
      <c r="C9" s="588" t="s">
        <v>9</v>
      </c>
      <c r="D9" s="588" t="s">
        <v>772</v>
      </c>
      <c r="E9" s="588" t="s">
        <v>773</v>
      </c>
      <c r="F9" s="588" t="s">
        <v>774</v>
      </c>
      <c r="G9" s="588" t="s">
        <v>775</v>
      </c>
      <c r="H9" s="588" t="s">
        <v>776</v>
      </c>
      <c r="I9" s="588" t="s">
        <v>777</v>
      </c>
      <c r="J9" s="588" t="s">
        <v>778</v>
      </c>
      <c r="K9" s="588" t="s">
        <v>878</v>
      </c>
      <c r="L9" s="588" t="s">
        <v>879</v>
      </c>
      <c r="M9" s="588" t="s">
        <v>941</v>
      </c>
      <c r="N9" s="590" t="s">
        <v>779</v>
      </c>
    </row>
    <row r="10" spans="1:16" ht="38.25">
      <c r="A10" s="591">
        <v>1</v>
      </c>
      <c r="B10" s="592" t="s">
        <v>880</v>
      </c>
      <c r="C10" s="591" t="s">
        <v>109</v>
      </c>
      <c r="D10" s="593" t="s">
        <v>780</v>
      </c>
      <c r="E10" s="594">
        <v>21</v>
      </c>
      <c r="F10" s="594">
        <v>662</v>
      </c>
      <c r="G10" s="594">
        <f>IF(E10&gt;30,($C$5-$C$4+(25*$C$6)+((E10-30)*$C$7))/1.13615,(($C$5-$C$4+((E10-5)*$C$6))/1.13615))</f>
        <v>308.93808035910752</v>
      </c>
      <c r="H10" s="594">
        <v>0</v>
      </c>
      <c r="I10" s="594">
        <v>0</v>
      </c>
      <c r="J10" s="594">
        <v>0</v>
      </c>
      <c r="K10" s="594">
        <v>0</v>
      </c>
      <c r="L10" s="594">
        <v>0</v>
      </c>
      <c r="M10" s="594"/>
      <c r="N10" s="595">
        <f>J10+I10-H10+G10+F10+K10+L10+M10</f>
        <v>970.93808035910752</v>
      </c>
      <c r="P10" s="656"/>
    </row>
    <row r="11" spans="1:16" ht="38.25">
      <c r="A11" s="591"/>
      <c r="B11" s="592" t="s">
        <v>881</v>
      </c>
      <c r="C11" s="591" t="s">
        <v>109</v>
      </c>
      <c r="D11" s="593" t="s">
        <v>780</v>
      </c>
      <c r="E11" s="594">
        <v>161</v>
      </c>
      <c r="F11" s="594">
        <v>662</v>
      </c>
      <c r="G11" s="594">
        <f>IF(E11&gt;30,($C$5-$C$4+(25*$C$6)+((E11-30)*$C$7))/1.13615,(($C$5-$C$4+((E11-5)*$C$6))/1.13615))</f>
        <v>2118.6463055054351</v>
      </c>
      <c r="H11" s="594">
        <v>0</v>
      </c>
      <c r="I11" s="594">
        <v>0</v>
      </c>
      <c r="J11" s="594">
        <v>0</v>
      </c>
      <c r="K11" s="594">
        <v>0</v>
      </c>
      <c r="L11" s="594">
        <v>0</v>
      </c>
      <c r="M11" s="594"/>
      <c r="N11" s="595">
        <f t="shared" ref="N11:N44" si="0">J11+I11-H11+G11+F11+K11+L11+M11</f>
        <v>2780.6463055054351</v>
      </c>
      <c r="P11" s="656"/>
    </row>
    <row r="12" spans="1:16" ht="51">
      <c r="A12" s="591">
        <v>2</v>
      </c>
      <c r="B12" s="592" t="s">
        <v>781</v>
      </c>
      <c r="C12" s="591" t="s">
        <v>109</v>
      </c>
      <c r="D12" s="593" t="s">
        <v>782</v>
      </c>
      <c r="E12" s="594">
        <v>161</v>
      </c>
      <c r="F12" s="594">
        <v>872</v>
      </c>
      <c r="G12" s="594">
        <f>IF(E12&gt;30,($C$5-$C$4+(25*$C$6)+((E12-30)*$C$7))/1.13615,(($C$5-$C$4+((E12-5)*$C$6))/1.13615))</f>
        <v>2118.6463055054351</v>
      </c>
      <c r="H12" s="594">
        <v>0</v>
      </c>
      <c r="I12" s="594">
        <v>0</v>
      </c>
      <c r="J12" s="594">
        <v>0</v>
      </c>
      <c r="K12" s="594">
        <v>0</v>
      </c>
      <c r="L12" s="594">
        <v>0</v>
      </c>
      <c r="M12" s="594"/>
      <c r="N12" s="595">
        <f t="shared" si="0"/>
        <v>2990.6463055054351</v>
      </c>
      <c r="P12" s="656"/>
    </row>
    <row r="13" spans="1:16" ht="25.5">
      <c r="A13" s="591">
        <v>3</v>
      </c>
      <c r="B13" s="592" t="s">
        <v>789</v>
      </c>
      <c r="C13" s="591" t="s">
        <v>109</v>
      </c>
      <c r="D13" s="593" t="s">
        <v>783</v>
      </c>
      <c r="E13" s="594">
        <v>11</v>
      </c>
      <c r="F13" s="594">
        <v>567</v>
      </c>
      <c r="G13" s="594">
        <f>IF(E13&gt;30,($C$5-C4+(25*$C$6)+((E13-30)*$C$7))/1.13615,(($C$5-C4+((E13-5)*$C$6))/1.13615))</f>
        <v>155.78928838621661</v>
      </c>
      <c r="H13" s="594">
        <v>0</v>
      </c>
      <c r="I13" s="594">
        <v>0</v>
      </c>
      <c r="J13" s="594">
        <v>0</v>
      </c>
      <c r="K13" s="594">
        <v>0</v>
      </c>
      <c r="L13" s="594">
        <v>0</v>
      </c>
      <c r="M13" s="594"/>
      <c r="N13" s="595">
        <f t="shared" si="0"/>
        <v>722.78928838621664</v>
      </c>
      <c r="P13" s="656"/>
    </row>
    <row r="14" spans="1:16" ht="51">
      <c r="A14" s="591">
        <v>3</v>
      </c>
      <c r="B14" s="592" t="s">
        <v>784</v>
      </c>
      <c r="C14" s="591" t="s">
        <v>109</v>
      </c>
      <c r="D14" s="593" t="s">
        <v>785</v>
      </c>
      <c r="E14" s="594">
        <v>11</v>
      </c>
      <c r="F14" s="594">
        <v>626</v>
      </c>
      <c r="G14" s="594">
        <f>IF(E14&gt;30,($C$5-C4+(25*$C$6)+((E14-30)*$C$7))/1.13615,(($C$5-C4+((E14-5)*$C$6))/1.13615))</f>
        <v>155.78928838621661</v>
      </c>
      <c r="H14" s="594">
        <v>0</v>
      </c>
      <c r="I14" s="594">
        <v>0</v>
      </c>
      <c r="J14" s="594">
        <v>0</v>
      </c>
      <c r="K14" s="594">
        <v>0</v>
      </c>
      <c r="L14" s="594">
        <v>0</v>
      </c>
      <c r="M14" s="594"/>
      <c r="N14" s="595">
        <f t="shared" si="0"/>
        <v>781.78928838621664</v>
      </c>
      <c r="P14" s="656"/>
    </row>
    <row r="15" spans="1:16" ht="25.5">
      <c r="A15" s="591"/>
      <c r="B15" s="592" t="s">
        <v>786</v>
      </c>
      <c r="C15" s="591" t="s">
        <v>109</v>
      </c>
      <c r="D15" s="593"/>
      <c r="E15" s="594"/>
      <c r="F15" s="594"/>
      <c r="G15" s="594"/>
      <c r="H15" s="594"/>
      <c r="I15" s="594"/>
      <c r="J15" s="594"/>
      <c r="K15" s="594"/>
      <c r="L15" s="594"/>
      <c r="M15" s="594"/>
      <c r="N15" s="595">
        <f>AVERAGE(N11,N14)</f>
        <v>1781.2177969458257</v>
      </c>
      <c r="P15" s="656"/>
    </row>
    <row r="16" spans="1:16" ht="25.5">
      <c r="A16" s="591"/>
      <c r="B16" s="592" t="s">
        <v>787</v>
      </c>
      <c r="C16" s="591" t="s">
        <v>109</v>
      </c>
      <c r="D16" s="593"/>
      <c r="E16" s="594"/>
      <c r="F16" s="594"/>
      <c r="G16" s="594"/>
      <c r="H16" s="594"/>
      <c r="I16" s="594"/>
      <c r="J16" s="594"/>
      <c r="K16" s="594"/>
      <c r="L16" s="594"/>
      <c r="M16" s="594"/>
      <c r="N16" s="595">
        <f>AVERAGE(N12,N14)</f>
        <v>1886.2177969458257</v>
      </c>
      <c r="P16" s="656"/>
    </row>
    <row r="17" spans="1:16" ht="14.25">
      <c r="A17" s="591"/>
      <c r="B17" s="592" t="s">
        <v>788</v>
      </c>
      <c r="C17" s="591" t="s">
        <v>109</v>
      </c>
      <c r="D17" s="593"/>
      <c r="E17" s="594"/>
      <c r="F17" s="594"/>
      <c r="G17" s="594"/>
      <c r="H17" s="594"/>
      <c r="I17" s="594"/>
      <c r="J17" s="594"/>
      <c r="K17" s="594"/>
      <c r="L17" s="594"/>
      <c r="M17" s="594"/>
      <c r="N17" s="595">
        <f>AVERAGE(N10,N14)</f>
        <v>876.36368437266208</v>
      </c>
      <c r="P17" s="656"/>
    </row>
    <row r="18" spans="1:16" ht="25.5">
      <c r="A18" s="591">
        <v>4</v>
      </c>
      <c r="B18" s="596" t="s">
        <v>790</v>
      </c>
      <c r="C18" s="591" t="s">
        <v>109</v>
      </c>
      <c r="D18" s="593" t="s">
        <v>791</v>
      </c>
      <c r="E18" s="594">
        <v>11</v>
      </c>
      <c r="F18" s="594">
        <v>705</v>
      </c>
      <c r="G18" s="594">
        <f t="shared" ref="G18:G39" si="1">IF(E18&gt;30,($C$5-$D$4+(25*$C$6)+((E18-30)*$C$7))/1.13615,(($C$5-$D$4+((E18-5)*$C$6))/1.13615))</f>
        <v>157.1975531399903</v>
      </c>
      <c r="H18" s="594">
        <v>0</v>
      </c>
      <c r="I18" s="594">
        <f>F18*25%</f>
        <v>176.25</v>
      </c>
      <c r="J18" s="594">
        <v>70</v>
      </c>
      <c r="K18" s="594">
        <v>0</v>
      </c>
      <c r="L18" s="594">
        <v>0</v>
      </c>
      <c r="M18" s="594">
        <v>-11</v>
      </c>
      <c r="N18" s="595">
        <f t="shared" si="0"/>
        <v>1097.4475531399903</v>
      </c>
      <c r="P18" s="656"/>
    </row>
    <row r="19" spans="1:16" ht="25.5">
      <c r="A19" s="591">
        <v>5</v>
      </c>
      <c r="B19" s="596" t="s">
        <v>792</v>
      </c>
      <c r="C19" s="591" t="s">
        <v>109</v>
      </c>
      <c r="D19" s="593" t="s">
        <v>793</v>
      </c>
      <c r="E19" s="594">
        <v>11</v>
      </c>
      <c r="F19" s="594">
        <v>806</v>
      </c>
      <c r="G19" s="594">
        <f t="shared" si="1"/>
        <v>157.1975531399903</v>
      </c>
      <c r="H19" s="594">
        <v>0</v>
      </c>
      <c r="I19" s="594">
        <f>F19*25%</f>
        <v>201.5</v>
      </c>
      <c r="J19" s="594">
        <v>70</v>
      </c>
      <c r="K19" s="594">
        <v>0</v>
      </c>
      <c r="L19" s="594">
        <v>0</v>
      </c>
      <c r="M19" s="594">
        <v>-11</v>
      </c>
      <c r="N19" s="595">
        <f t="shared" si="0"/>
        <v>1223.6975531399903</v>
      </c>
      <c r="P19" s="656"/>
    </row>
    <row r="20" spans="1:16" ht="25.5">
      <c r="A20" s="591">
        <v>6</v>
      </c>
      <c r="B20" s="596" t="s">
        <v>794</v>
      </c>
      <c r="C20" s="591" t="s">
        <v>109</v>
      </c>
      <c r="D20" s="593" t="s">
        <v>795</v>
      </c>
      <c r="E20" s="594">
        <v>11</v>
      </c>
      <c r="F20" s="594">
        <v>957</v>
      </c>
      <c r="G20" s="594">
        <f t="shared" si="1"/>
        <v>157.1975531399903</v>
      </c>
      <c r="H20" s="594">
        <v>0</v>
      </c>
      <c r="I20" s="594">
        <f t="shared" ref="I20:I28" si="2">F20*25%</f>
        <v>239.25</v>
      </c>
      <c r="J20" s="594">
        <v>70</v>
      </c>
      <c r="K20" s="594">
        <v>0</v>
      </c>
      <c r="L20" s="594">
        <v>0</v>
      </c>
      <c r="M20" s="594">
        <v>-11</v>
      </c>
      <c r="N20" s="595">
        <f t="shared" si="0"/>
        <v>1412.4475531399903</v>
      </c>
      <c r="P20" s="656"/>
    </row>
    <row r="21" spans="1:16" ht="25.5">
      <c r="A21" s="591">
        <v>7</v>
      </c>
      <c r="B21" s="596" t="s">
        <v>796</v>
      </c>
      <c r="C21" s="591" t="s">
        <v>109</v>
      </c>
      <c r="D21" s="593" t="s">
        <v>797</v>
      </c>
      <c r="E21" s="594">
        <v>11</v>
      </c>
      <c r="F21" s="594">
        <v>1057</v>
      </c>
      <c r="G21" s="594">
        <f t="shared" si="1"/>
        <v>157.1975531399903</v>
      </c>
      <c r="H21" s="594">
        <v>0</v>
      </c>
      <c r="I21" s="594">
        <f t="shared" si="2"/>
        <v>264.25</v>
      </c>
      <c r="J21" s="594">
        <v>70</v>
      </c>
      <c r="K21" s="594">
        <v>0</v>
      </c>
      <c r="L21" s="594">
        <v>0</v>
      </c>
      <c r="M21" s="594">
        <v>-11</v>
      </c>
      <c r="N21" s="595">
        <f t="shared" si="0"/>
        <v>1537.4475531399903</v>
      </c>
      <c r="P21" s="656"/>
    </row>
    <row r="22" spans="1:16" ht="25.5">
      <c r="A22" s="591">
        <v>8</v>
      </c>
      <c r="B22" s="596" t="s">
        <v>798</v>
      </c>
      <c r="C22" s="591" t="s">
        <v>109</v>
      </c>
      <c r="D22" s="593" t="s">
        <v>799</v>
      </c>
      <c r="E22" s="594">
        <v>11</v>
      </c>
      <c r="F22" s="594">
        <v>1108</v>
      </c>
      <c r="G22" s="594">
        <f t="shared" si="1"/>
        <v>157.1975531399903</v>
      </c>
      <c r="H22" s="594">
        <v>0</v>
      </c>
      <c r="I22" s="594">
        <f t="shared" si="2"/>
        <v>277</v>
      </c>
      <c r="J22" s="594">
        <v>70</v>
      </c>
      <c r="K22" s="594">
        <v>0</v>
      </c>
      <c r="L22" s="594">
        <v>0</v>
      </c>
      <c r="M22" s="594">
        <v>-11</v>
      </c>
      <c r="N22" s="595">
        <f t="shared" si="0"/>
        <v>1601.1975531399903</v>
      </c>
      <c r="P22" s="656"/>
    </row>
    <row r="23" spans="1:16" ht="25.5">
      <c r="A23" s="591">
        <v>9</v>
      </c>
      <c r="B23" s="596" t="s">
        <v>800</v>
      </c>
      <c r="C23" s="591" t="s">
        <v>109</v>
      </c>
      <c r="D23" s="593" t="s">
        <v>801</v>
      </c>
      <c r="E23" s="594">
        <v>11</v>
      </c>
      <c r="F23" s="594">
        <v>1098</v>
      </c>
      <c r="G23" s="594">
        <f t="shared" si="1"/>
        <v>157.1975531399903</v>
      </c>
      <c r="H23" s="594">
        <v>0</v>
      </c>
      <c r="I23" s="594">
        <f t="shared" si="2"/>
        <v>274.5</v>
      </c>
      <c r="J23" s="594">
        <v>70</v>
      </c>
      <c r="K23" s="594">
        <v>0</v>
      </c>
      <c r="L23" s="594">
        <v>0</v>
      </c>
      <c r="M23" s="594">
        <v>-11</v>
      </c>
      <c r="N23" s="595">
        <f t="shared" si="0"/>
        <v>1588.6975531399903</v>
      </c>
      <c r="P23" s="656"/>
    </row>
    <row r="24" spans="1:16" ht="25.5">
      <c r="A24" s="591">
        <v>10</v>
      </c>
      <c r="B24" s="596" t="s">
        <v>802</v>
      </c>
      <c r="C24" s="591" t="s">
        <v>109</v>
      </c>
      <c r="D24" s="593" t="s">
        <v>803</v>
      </c>
      <c r="E24" s="594">
        <v>11</v>
      </c>
      <c r="F24" s="594">
        <v>909</v>
      </c>
      <c r="G24" s="594">
        <f t="shared" si="1"/>
        <v>157.1975531399903</v>
      </c>
      <c r="H24" s="594">
        <v>0</v>
      </c>
      <c r="I24" s="594">
        <f t="shared" si="2"/>
        <v>227.25</v>
      </c>
      <c r="J24" s="594">
        <v>70</v>
      </c>
      <c r="K24" s="594">
        <v>0</v>
      </c>
      <c r="L24" s="594">
        <v>0</v>
      </c>
      <c r="M24" s="594">
        <v>-11</v>
      </c>
      <c r="N24" s="595">
        <f t="shared" si="0"/>
        <v>1352.4475531399903</v>
      </c>
      <c r="P24" s="656"/>
    </row>
    <row r="25" spans="1:16" ht="25.5">
      <c r="A25" s="591">
        <v>11</v>
      </c>
      <c r="B25" s="596" t="s">
        <v>804</v>
      </c>
      <c r="C25" s="591" t="s">
        <v>109</v>
      </c>
      <c r="D25" s="593" t="s">
        <v>805</v>
      </c>
      <c r="E25" s="594">
        <v>11</v>
      </c>
      <c r="F25" s="594">
        <v>655</v>
      </c>
      <c r="G25" s="594">
        <f t="shared" si="1"/>
        <v>157.1975531399903</v>
      </c>
      <c r="H25" s="594">
        <v>0</v>
      </c>
      <c r="I25" s="594">
        <f t="shared" si="2"/>
        <v>163.75</v>
      </c>
      <c r="J25" s="594">
        <v>70</v>
      </c>
      <c r="K25" s="594">
        <v>0</v>
      </c>
      <c r="L25" s="594">
        <v>0</v>
      </c>
      <c r="M25" s="594">
        <v>-11</v>
      </c>
      <c r="N25" s="595">
        <f t="shared" si="0"/>
        <v>1034.9475531399903</v>
      </c>
      <c r="P25" s="656"/>
    </row>
    <row r="26" spans="1:16" ht="25.5">
      <c r="A26" s="591">
        <v>12</v>
      </c>
      <c r="B26" s="596" t="s">
        <v>806</v>
      </c>
      <c r="C26" s="591" t="s">
        <v>109</v>
      </c>
      <c r="D26" s="593" t="s">
        <v>807</v>
      </c>
      <c r="E26" s="594">
        <v>11</v>
      </c>
      <c r="F26" s="594">
        <v>544</v>
      </c>
      <c r="G26" s="594">
        <f t="shared" si="1"/>
        <v>157.1975531399903</v>
      </c>
      <c r="H26" s="594">
        <v>0</v>
      </c>
      <c r="I26" s="594">
        <f t="shared" si="2"/>
        <v>136</v>
      </c>
      <c r="J26" s="594">
        <v>70</v>
      </c>
      <c r="K26" s="594">
        <v>0</v>
      </c>
      <c r="L26" s="594">
        <v>0</v>
      </c>
      <c r="M26" s="594">
        <v>-11</v>
      </c>
      <c r="N26" s="595">
        <f t="shared" si="0"/>
        <v>896.1975531399903</v>
      </c>
      <c r="P26" s="656"/>
    </row>
    <row r="27" spans="1:16" ht="25.5">
      <c r="A27" s="591">
        <v>13</v>
      </c>
      <c r="B27" s="596" t="s">
        <v>808</v>
      </c>
      <c r="C27" s="591" t="s">
        <v>109</v>
      </c>
      <c r="D27" s="593" t="s">
        <v>809</v>
      </c>
      <c r="E27" s="594">
        <v>11</v>
      </c>
      <c r="F27" s="594">
        <v>493</v>
      </c>
      <c r="G27" s="594">
        <f t="shared" si="1"/>
        <v>157.1975531399903</v>
      </c>
      <c r="H27" s="594">
        <v>0</v>
      </c>
      <c r="I27" s="594">
        <f t="shared" si="2"/>
        <v>123.25</v>
      </c>
      <c r="J27" s="594">
        <v>70</v>
      </c>
      <c r="K27" s="594">
        <v>0</v>
      </c>
      <c r="L27" s="594">
        <v>0</v>
      </c>
      <c r="M27" s="594">
        <v>-11</v>
      </c>
      <c r="N27" s="595">
        <f t="shared" si="0"/>
        <v>832.4475531399903</v>
      </c>
      <c r="P27" s="656"/>
    </row>
    <row r="28" spans="1:16" ht="25.5">
      <c r="A28" s="591">
        <v>14</v>
      </c>
      <c r="B28" s="596" t="s">
        <v>810</v>
      </c>
      <c r="C28" s="591" t="s">
        <v>109</v>
      </c>
      <c r="D28" s="593" t="s">
        <v>811</v>
      </c>
      <c r="E28" s="594">
        <v>11</v>
      </c>
      <c r="F28" s="594">
        <v>443</v>
      </c>
      <c r="G28" s="594">
        <f t="shared" si="1"/>
        <v>157.1975531399903</v>
      </c>
      <c r="H28" s="594">
        <v>0</v>
      </c>
      <c r="I28" s="594">
        <f t="shared" si="2"/>
        <v>110.75</v>
      </c>
      <c r="J28" s="594">
        <v>70</v>
      </c>
      <c r="K28" s="594">
        <v>0</v>
      </c>
      <c r="L28" s="594">
        <v>0</v>
      </c>
      <c r="M28" s="594">
        <v>-11</v>
      </c>
      <c r="N28" s="595">
        <f t="shared" si="0"/>
        <v>769.9475531399903</v>
      </c>
      <c r="P28" s="656"/>
    </row>
    <row r="29" spans="1:16" ht="25.5">
      <c r="A29" s="591">
        <v>15</v>
      </c>
      <c r="B29" s="592" t="s">
        <v>812</v>
      </c>
      <c r="C29" s="591" t="s">
        <v>109</v>
      </c>
      <c r="D29" s="593" t="s">
        <v>813</v>
      </c>
      <c r="E29" s="594">
        <v>11</v>
      </c>
      <c r="F29" s="597">
        <v>100</v>
      </c>
      <c r="G29" s="594">
        <f t="shared" si="1"/>
        <v>157.1975531399903</v>
      </c>
      <c r="H29" s="594">
        <v>0</v>
      </c>
      <c r="I29" s="594">
        <v>0</v>
      </c>
      <c r="J29" s="594">
        <v>70</v>
      </c>
      <c r="K29" s="594">
        <v>0</v>
      </c>
      <c r="L29" s="594">
        <v>0</v>
      </c>
      <c r="M29" s="594">
        <v>0</v>
      </c>
      <c r="N29" s="595">
        <f t="shared" si="0"/>
        <v>327.1975531399903</v>
      </c>
      <c r="P29" s="656"/>
    </row>
    <row r="30" spans="1:16" ht="25.5">
      <c r="A30" s="591">
        <v>16</v>
      </c>
      <c r="B30" s="596" t="s">
        <v>42</v>
      </c>
      <c r="C30" s="591" t="s">
        <v>109</v>
      </c>
      <c r="D30" s="593" t="s">
        <v>814</v>
      </c>
      <c r="E30" s="594">
        <v>8</v>
      </c>
      <c r="F30" s="594">
        <v>109</v>
      </c>
      <c r="G30" s="594">
        <f>IF(E30&gt;30,($C$5-$C$4+(25*$C$6)+((E30-30)*$C$7))/1.13615,(($C$5-$C$4+((E30-5)*$C$6))/1.13615))</f>
        <v>109.84465079434932</v>
      </c>
      <c r="H30" s="594">
        <v>0</v>
      </c>
      <c r="I30" s="594">
        <v>0</v>
      </c>
      <c r="J30" s="594">
        <v>0</v>
      </c>
      <c r="K30" s="594">
        <v>0</v>
      </c>
      <c r="L30" s="594">
        <v>0</v>
      </c>
      <c r="M30" s="594"/>
      <c r="N30" s="595">
        <f t="shared" si="0"/>
        <v>218.84465079434932</v>
      </c>
      <c r="P30" s="656"/>
    </row>
    <row r="31" spans="1:16" ht="25.5">
      <c r="A31" s="591">
        <v>17</v>
      </c>
      <c r="B31" s="592" t="s">
        <v>815</v>
      </c>
      <c r="C31" s="591" t="s">
        <v>109</v>
      </c>
      <c r="D31" s="593" t="s">
        <v>816</v>
      </c>
      <c r="E31" s="594">
        <v>11</v>
      </c>
      <c r="F31" s="594">
        <v>85</v>
      </c>
      <c r="G31" s="594">
        <f t="shared" si="1"/>
        <v>157.1975531399903</v>
      </c>
      <c r="H31" s="594">
        <v>0</v>
      </c>
      <c r="I31" s="594">
        <v>0</v>
      </c>
      <c r="J31" s="594">
        <v>0</v>
      </c>
      <c r="K31" s="594">
        <v>0</v>
      </c>
      <c r="L31" s="594">
        <v>0</v>
      </c>
      <c r="M31" s="594"/>
      <c r="N31" s="595">
        <f t="shared" si="0"/>
        <v>242.1975531399903</v>
      </c>
      <c r="P31" s="656"/>
    </row>
    <row r="32" spans="1:16" ht="25.5">
      <c r="A32" s="591">
        <v>18</v>
      </c>
      <c r="B32" s="596" t="s">
        <v>817</v>
      </c>
      <c r="C32" s="591" t="s">
        <v>109</v>
      </c>
      <c r="D32" s="593" t="s">
        <v>797</v>
      </c>
      <c r="E32" s="594">
        <v>11</v>
      </c>
      <c r="F32" s="597">
        <v>1108</v>
      </c>
      <c r="G32" s="594">
        <f t="shared" si="1"/>
        <v>157.1975531399903</v>
      </c>
      <c r="H32" s="594">
        <v>0</v>
      </c>
      <c r="I32" s="594">
        <f>F32*25%</f>
        <v>277</v>
      </c>
      <c r="J32" s="594">
        <v>70</v>
      </c>
      <c r="K32" s="594">
        <v>0</v>
      </c>
      <c r="L32" s="594">
        <v>0</v>
      </c>
      <c r="M32" s="594">
        <v>-9.9</v>
      </c>
      <c r="N32" s="595">
        <f t="shared" si="0"/>
        <v>1602.2975531399902</v>
      </c>
      <c r="P32" s="656"/>
    </row>
    <row r="33" spans="1:16" ht="25.5">
      <c r="A33" s="591">
        <v>19</v>
      </c>
      <c r="B33" s="596" t="s">
        <v>818</v>
      </c>
      <c r="C33" s="591" t="s">
        <v>109</v>
      </c>
      <c r="D33" s="593" t="s">
        <v>799</v>
      </c>
      <c r="E33" s="594">
        <v>11</v>
      </c>
      <c r="F33" s="597">
        <v>909</v>
      </c>
      <c r="G33" s="594">
        <f t="shared" si="1"/>
        <v>157.1975531399903</v>
      </c>
      <c r="H33" s="594">
        <v>0</v>
      </c>
      <c r="I33" s="594">
        <f>F33*25%</f>
        <v>227.25</v>
      </c>
      <c r="J33" s="594">
        <v>70</v>
      </c>
      <c r="K33" s="594">
        <v>0</v>
      </c>
      <c r="L33" s="594">
        <v>0</v>
      </c>
      <c r="M33" s="594">
        <v>-9.9</v>
      </c>
      <c r="N33" s="595">
        <f t="shared" si="0"/>
        <v>1353.5475531399902</v>
      </c>
      <c r="P33" s="656"/>
    </row>
    <row r="34" spans="1:16" ht="25.5">
      <c r="A34" s="591">
        <v>20</v>
      </c>
      <c r="B34" s="596" t="s">
        <v>819</v>
      </c>
      <c r="C34" s="591" t="s">
        <v>109</v>
      </c>
      <c r="D34" s="593" t="s">
        <v>820</v>
      </c>
      <c r="E34" s="594">
        <v>11</v>
      </c>
      <c r="F34" s="597">
        <v>957</v>
      </c>
      <c r="G34" s="594">
        <f t="shared" si="1"/>
        <v>157.1975531399903</v>
      </c>
      <c r="H34" s="594">
        <v>0</v>
      </c>
      <c r="I34" s="594">
        <f>F34*25%</f>
        <v>239.25</v>
      </c>
      <c r="J34" s="594">
        <v>70</v>
      </c>
      <c r="K34" s="594">
        <v>0</v>
      </c>
      <c r="L34" s="594">
        <v>0</v>
      </c>
      <c r="M34" s="594">
        <v>-9.9</v>
      </c>
      <c r="N34" s="595">
        <f t="shared" si="0"/>
        <v>1413.5475531399902</v>
      </c>
      <c r="P34" s="656"/>
    </row>
    <row r="35" spans="1:16" ht="25.5">
      <c r="A35" s="591">
        <v>21</v>
      </c>
      <c r="B35" s="596" t="s">
        <v>821</v>
      </c>
      <c r="C35" s="591" t="s">
        <v>109</v>
      </c>
      <c r="D35" s="593" t="s">
        <v>822</v>
      </c>
      <c r="E35" s="594">
        <v>11</v>
      </c>
      <c r="F35" s="594">
        <v>265</v>
      </c>
      <c r="G35" s="594">
        <f t="shared" si="1"/>
        <v>157.1975531399903</v>
      </c>
      <c r="H35" s="594">
        <v>0</v>
      </c>
      <c r="I35" s="594">
        <v>0</v>
      </c>
      <c r="J35" s="594">
        <v>70</v>
      </c>
      <c r="K35" s="594">
        <v>0</v>
      </c>
      <c r="L35" s="594">
        <v>0</v>
      </c>
      <c r="M35" s="594"/>
      <c r="N35" s="595">
        <f t="shared" si="0"/>
        <v>492.1975531399903</v>
      </c>
      <c r="P35" s="656"/>
    </row>
    <row r="36" spans="1:16" ht="25.5">
      <c r="A36" s="610">
        <v>22</v>
      </c>
      <c r="B36" s="598" t="s">
        <v>951</v>
      </c>
      <c r="C36" s="610" t="s">
        <v>109</v>
      </c>
      <c r="D36" s="611" t="s">
        <v>823</v>
      </c>
      <c r="E36" s="594">
        <v>11</v>
      </c>
      <c r="F36" s="597">
        <v>164</v>
      </c>
      <c r="G36" s="597">
        <f t="shared" si="1"/>
        <v>157.1975531399903</v>
      </c>
      <c r="H36" s="597">
        <v>0</v>
      </c>
      <c r="I36" s="597">
        <v>0</v>
      </c>
      <c r="J36" s="597">
        <v>70</v>
      </c>
      <c r="K36" s="594">
        <v>0</v>
      </c>
      <c r="L36" s="594">
        <v>0</v>
      </c>
      <c r="M36" s="594"/>
      <c r="N36" s="595">
        <f t="shared" si="0"/>
        <v>391.1975531399903</v>
      </c>
      <c r="P36" s="656"/>
    </row>
    <row r="37" spans="1:16" ht="25.5">
      <c r="A37" s="610">
        <v>23</v>
      </c>
      <c r="B37" s="598" t="s">
        <v>882</v>
      </c>
      <c r="C37" s="610" t="s">
        <v>109</v>
      </c>
      <c r="D37" s="611" t="s">
        <v>883</v>
      </c>
      <c r="E37" s="594">
        <v>11</v>
      </c>
      <c r="F37" s="597">
        <v>276</v>
      </c>
      <c r="G37" s="597">
        <f t="shared" si="1"/>
        <v>157.1975531399903</v>
      </c>
      <c r="H37" s="597">
        <v>0</v>
      </c>
      <c r="I37" s="597">
        <v>0</v>
      </c>
      <c r="J37" s="597">
        <v>70</v>
      </c>
      <c r="K37" s="594">
        <v>0</v>
      </c>
      <c r="L37" s="594">
        <v>0</v>
      </c>
      <c r="M37" s="594"/>
      <c r="N37" s="595">
        <f t="shared" si="0"/>
        <v>503.1975531399903</v>
      </c>
      <c r="P37" s="656"/>
    </row>
    <row r="38" spans="1:16" ht="25.5">
      <c r="A38" s="591">
        <v>24</v>
      </c>
      <c r="B38" s="596" t="s">
        <v>824</v>
      </c>
      <c r="C38" s="591" t="s">
        <v>109</v>
      </c>
      <c r="D38" s="593" t="s">
        <v>825</v>
      </c>
      <c r="E38" s="594">
        <v>11</v>
      </c>
      <c r="F38" s="594">
        <f>(1/(0.6*0.2*0.2))*32</f>
        <v>1333.3333333333333</v>
      </c>
      <c r="G38" s="594">
        <f t="shared" si="1"/>
        <v>157.1975531399903</v>
      </c>
      <c r="H38" s="594">
        <v>0</v>
      </c>
      <c r="I38" s="594">
        <v>0</v>
      </c>
      <c r="J38" s="594">
        <v>0</v>
      </c>
      <c r="K38" s="594">
        <v>0</v>
      </c>
      <c r="L38" s="594">
        <v>0</v>
      </c>
      <c r="M38" s="594"/>
      <c r="N38" s="595">
        <f t="shared" si="0"/>
        <v>1490.5308864733236</v>
      </c>
      <c r="P38" s="656"/>
    </row>
    <row r="39" spans="1:16" ht="14.25">
      <c r="A39" s="610">
        <v>25</v>
      </c>
      <c r="B39" s="596" t="s">
        <v>884</v>
      </c>
      <c r="C39" s="591" t="s">
        <v>109</v>
      </c>
      <c r="D39" s="593" t="s">
        <v>885</v>
      </c>
      <c r="E39" s="594">
        <v>11</v>
      </c>
      <c r="F39" s="594">
        <v>1666.67</v>
      </c>
      <c r="G39" s="594">
        <f t="shared" si="1"/>
        <v>157.1975531399903</v>
      </c>
      <c r="H39" s="594">
        <v>0</v>
      </c>
      <c r="I39" s="594">
        <v>0</v>
      </c>
      <c r="J39" s="594">
        <v>0</v>
      </c>
      <c r="K39" s="594">
        <v>0</v>
      </c>
      <c r="L39" s="594">
        <v>0</v>
      </c>
      <c r="M39" s="594"/>
      <c r="N39" s="595">
        <f t="shared" si="0"/>
        <v>1823.8675531399904</v>
      </c>
      <c r="P39" s="656"/>
    </row>
    <row r="40" spans="1:16" ht="25.5">
      <c r="A40" s="610">
        <v>26</v>
      </c>
      <c r="B40" s="598" t="s">
        <v>826</v>
      </c>
      <c r="C40" s="599" t="s">
        <v>290</v>
      </c>
      <c r="D40" s="593" t="s">
        <v>780</v>
      </c>
      <c r="E40" s="594">
        <v>5</v>
      </c>
      <c r="F40" s="597">
        <v>76</v>
      </c>
      <c r="G40" s="594">
        <v>0</v>
      </c>
      <c r="H40" s="594">
        <v>0</v>
      </c>
      <c r="I40" s="594">
        <v>0</v>
      </c>
      <c r="J40" s="594">
        <v>0</v>
      </c>
      <c r="K40" s="594">
        <v>0</v>
      </c>
      <c r="L40" s="594">
        <v>0</v>
      </c>
      <c r="M40" s="594"/>
      <c r="N40" s="595">
        <f t="shared" si="0"/>
        <v>76</v>
      </c>
      <c r="P40" s="656"/>
    </row>
    <row r="41" spans="1:16" ht="25.5">
      <c r="A41" s="591">
        <v>27</v>
      </c>
      <c r="B41" s="612" t="s">
        <v>1005</v>
      </c>
      <c r="C41" s="591" t="s">
        <v>679</v>
      </c>
      <c r="D41" s="591" t="s">
        <v>827</v>
      </c>
      <c r="E41" s="594">
        <v>11</v>
      </c>
      <c r="F41" s="889">
        <f>'Lead Chart 24-25'!F43</f>
        <v>5000</v>
      </c>
      <c r="G41" s="594">
        <v>0</v>
      </c>
      <c r="H41" s="601"/>
      <c r="I41" s="602"/>
      <c r="J41" s="602"/>
      <c r="K41" s="594">
        <v>0</v>
      </c>
      <c r="L41" s="594">
        <v>0</v>
      </c>
      <c r="M41" s="594"/>
      <c r="N41" s="595">
        <f t="shared" si="0"/>
        <v>5000</v>
      </c>
      <c r="P41" s="656"/>
    </row>
    <row r="42" spans="1:16" ht="14.25">
      <c r="A42" s="591">
        <v>28</v>
      </c>
      <c r="B42" s="600" t="s">
        <v>886</v>
      </c>
      <c r="C42" s="591" t="s">
        <v>307</v>
      </c>
      <c r="D42" s="591" t="s">
        <v>887</v>
      </c>
      <c r="E42" s="594">
        <v>11</v>
      </c>
      <c r="F42" s="597">
        <v>9000</v>
      </c>
      <c r="G42" s="594">
        <f>IF(E42&gt;30,($E$5-$E$4+(25*$E$6)+((E42-30)*$C$7))/1.13615,(($E$5-$E$4+((E42-5)*$E$6))/1.13615))</f>
        <v>250.58310962460942</v>
      </c>
      <c r="H42" s="594">
        <v>0</v>
      </c>
      <c r="I42" s="594">
        <v>0</v>
      </c>
      <c r="J42" s="594">
        <v>0</v>
      </c>
      <c r="K42" s="594">
        <f>110.9/1.13615</f>
        <v>97.610350745940238</v>
      </c>
      <c r="L42" s="594">
        <f>17.8/1.13615</f>
        <v>15.666945385732518</v>
      </c>
      <c r="M42" s="594"/>
      <c r="N42" s="595">
        <f t="shared" si="0"/>
        <v>9363.8604057562825</v>
      </c>
      <c r="P42" s="656"/>
    </row>
    <row r="43" spans="1:16" ht="51">
      <c r="A43" s="610">
        <v>29</v>
      </c>
      <c r="B43" s="600" t="s">
        <v>1006</v>
      </c>
      <c r="C43" s="591" t="s">
        <v>307</v>
      </c>
      <c r="D43" s="591" t="s">
        <v>888</v>
      </c>
      <c r="E43" s="594">
        <v>11</v>
      </c>
      <c r="F43" s="597">
        <v>30000</v>
      </c>
      <c r="G43" s="594">
        <f>IF(E43&gt;30,($E$5-$E$4+(25*$E$6)+((E43-30)*$C$7))/1.13615,(($E$5-$E$4+((E43-5)*$E$6))/1.13615))</f>
        <v>250.58310962460942</v>
      </c>
      <c r="H43" s="594">
        <v>0</v>
      </c>
      <c r="I43" s="594">
        <v>0</v>
      </c>
      <c r="J43" s="594">
        <v>0</v>
      </c>
      <c r="K43" s="594">
        <f>110.9/1.13615</f>
        <v>97.610350745940238</v>
      </c>
      <c r="L43" s="594">
        <f>17.8/1.13615</f>
        <v>15.666945385732518</v>
      </c>
      <c r="M43" s="594"/>
      <c r="N43" s="595">
        <f t="shared" si="0"/>
        <v>30363.860405756284</v>
      </c>
      <c r="P43" s="656"/>
    </row>
    <row r="44" spans="1:16" ht="51">
      <c r="A44" s="610">
        <v>30</v>
      </c>
      <c r="B44" s="592" t="s">
        <v>1007</v>
      </c>
      <c r="C44" s="591" t="s">
        <v>307</v>
      </c>
      <c r="D44" s="593" t="s">
        <v>889</v>
      </c>
      <c r="E44" s="594">
        <v>11</v>
      </c>
      <c r="F44" s="597">
        <v>9000</v>
      </c>
      <c r="G44" s="594">
        <f>IF(E44&gt;30,($E$5-$E$4+(25*$E$6)+((E44-30)*$C$7))/1.13615,(($E$5-$E$4+((E44-5)*$E$6))/1.13615))</f>
        <v>250.58310962460942</v>
      </c>
      <c r="H44" s="594">
        <v>0</v>
      </c>
      <c r="I44" s="594">
        <v>0</v>
      </c>
      <c r="J44" s="594">
        <v>0</v>
      </c>
      <c r="K44" s="594">
        <f>110.9/1.13615</f>
        <v>97.610350745940238</v>
      </c>
      <c r="L44" s="594">
        <f>17.8/1.13615</f>
        <v>15.666945385732518</v>
      </c>
      <c r="M44" s="594"/>
      <c r="N44" s="595">
        <f t="shared" si="0"/>
        <v>9363.8604057562825</v>
      </c>
      <c r="P44" s="656"/>
    </row>
    <row r="45" spans="1:16" ht="18.75" customHeight="1">
      <c r="A45" s="610">
        <v>31</v>
      </c>
      <c r="B45" s="592" t="s">
        <v>1002</v>
      </c>
      <c r="C45" s="591" t="s">
        <v>679</v>
      </c>
      <c r="D45" s="593"/>
      <c r="E45" s="597"/>
      <c r="F45" s="597">
        <v>60000</v>
      </c>
      <c r="G45" s="594"/>
      <c r="H45" s="594"/>
      <c r="I45" s="594"/>
      <c r="J45" s="594"/>
      <c r="K45" s="594"/>
      <c r="L45" s="594"/>
      <c r="M45" s="594"/>
      <c r="N45" s="597">
        <f>F45</f>
        <v>60000</v>
      </c>
      <c r="P45" s="656"/>
    </row>
    <row r="46" spans="1:16" ht="19.5" customHeight="1">
      <c r="A46" s="610">
        <v>32</v>
      </c>
      <c r="B46" s="592" t="s">
        <v>1003</v>
      </c>
      <c r="C46" s="591" t="s">
        <v>679</v>
      </c>
      <c r="D46" s="593"/>
      <c r="E46" s="597"/>
      <c r="F46" s="597">
        <v>68000</v>
      </c>
      <c r="G46" s="594"/>
      <c r="H46" s="594"/>
      <c r="I46" s="594"/>
      <c r="J46" s="594"/>
      <c r="K46" s="594"/>
      <c r="L46" s="594"/>
      <c r="M46" s="594"/>
      <c r="N46" s="597">
        <f>F46</f>
        <v>68000</v>
      </c>
      <c r="P46" s="656"/>
    </row>
    <row r="47" spans="1:16" ht="25.5">
      <c r="A47" s="610">
        <v>33</v>
      </c>
      <c r="B47" s="592" t="s">
        <v>1004</v>
      </c>
      <c r="C47" s="591" t="s">
        <v>679</v>
      </c>
      <c r="D47" s="593"/>
      <c r="E47" s="597"/>
      <c r="F47" s="597">
        <v>61000</v>
      </c>
      <c r="G47" s="594"/>
      <c r="H47" s="594"/>
      <c r="I47" s="594"/>
      <c r="J47" s="594"/>
      <c r="K47" s="594"/>
      <c r="L47" s="594"/>
      <c r="M47" s="594"/>
      <c r="N47" s="597">
        <f>F47</f>
        <v>61000</v>
      </c>
      <c r="P47" s="656"/>
    </row>
    <row r="49" spans="2:15" ht="15">
      <c r="B49" s="614" t="s">
        <v>891</v>
      </c>
      <c r="C49" s="615">
        <v>465</v>
      </c>
      <c r="D49" s="614"/>
      <c r="E49" s="614"/>
      <c r="F49" s="614"/>
      <c r="G49" s="614"/>
      <c r="H49" s="614" t="s">
        <v>892</v>
      </c>
      <c r="I49" s="614"/>
      <c r="J49" s="616">
        <v>0.2</v>
      </c>
      <c r="K49" s="616"/>
      <c r="L49" s="616"/>
      <c r="M49" s="616"/>
      <c r="N49" s="614"/>
      <c r="O49" s="614"/>
    </row>
    <row r="50" spans="2:15" ht="15">
      <c r="B50" s="614" t="s">
        <v>628</v>
      </c>
      <c r="C50" s="615">
        <v>520</v>
      </c>
      <c r="H50" s="614" t="s">
        <v>893</v>
      </c>
      <c r="I50" s="614"/>
      <c r="J50" s="617">
        <f>13.615%</f>
        <v>0.13614999999999999</v>
      </c>
      <c r="K50" s="617"/>
      <c r="L50" s="617"/>
      <c r="M50" s="617"/>
    </row>
    <row r="51" spans="2:15" ht="15">
      <c r="B51" s="614" t="s">
        <v>894</v>
      </c>
      <c r="C51" s="615">
        <v>490</v>
      </c>
    </row>
    <row r="52" spans="2:15" ht="15">
      <c r="B52" s="614" t="s">
        <v>895</v>
      </c>
      <c r="C52" s="615">
        <v>595</v>
      </c>
    </row>
    <row r="53" spans="2:15" ht="15">
      <c r="B53" s="614" t="s">
        <v>420</v>
      </c>
      <c r="C53" s="615">
        <v>605</v>
      </c>
    </row>
    <row r="54" spans="2:15" ht="15">
      <c r="B54" s="614" t="s">
        <v>896</v>
      </c>
      <c r="C54" s="615">
        <v>555</v>
      </c>
    </row>
    <row r="55" spans="2:15" ht="15">
      <c r="B55" s="614" t="s">
        <v>897</v>
      </c>
      <c r="C55" s="615">
        <v>590</v>
      </c>
    </row>
    <row r="56" spans="2:15" ht="15">
      <c r="B56" s="614" t="s">
        <v>898</v>
      </c>
      <c r="C56" s="615">
        <v>615</v>
      </c>
    </row>
    <row r="57" spans="2:15" ht="15">
      <c r="B57" s="614" t="s">
        <v>899</v>
      </c>
      <c r="C57" s="615">
        <v>615</v>
      </c>
    </row>
    <row r="58" spans="2:15" ht="15">
      <c r="B58" s="614" t="s">
        <v>900</v>
      </c>
      <c r="C58" s="615">
        <v>515</v>
      </c>
    </row>
    <row r="59" spans="2:15" ht="15">
      <c r="B59" s="614" t="s">
        <v>901</v>
      </c>
      <c r="C59" s="615">
        <v>885</v>
      </c>
    </row>
    <row r="60" spans="2:15" ht="15">
      <c r="B60" s="614" t="s">
        <v>902</v>
      </c>
      <c r="C60" s="615">
        <v>590</v>
      </c>
    </row>
    <row r="61" spans="2:15" ht="15">
      <c r="B61" s="614" t="s">
        <v>377</v>
      </c>
      <c r="C61" s="615">
        <v>595</v>
      </c>
    </row>
    <row r="62" spans="2:15" ht="15">
      <c r="C62" s="615"/>
    </row>
    <row r="63" spans="2:15" ht="15">
      <c r="B63" s="618" t="s">
        <v>903</v>
      </c>
      <c r="C63" s="615">
        <v>550.70000000000005</v>
      </c>
      <c r="E63" s="614" t="s">
        <v>402</v>
      </c>
      <c r="F63" s="615"/>
    </row>
    <row r="64" spans="2:15" ht="15">
      <c r="B64" s="618" t="s">
        <v>904</v>
      </c>
      <c r="C64" s="615">
        <v>271.7</v>
      </c>
      <c r="E64" s="614" t="s">
        <v>905</v>
      </c>
      <c r="F64" s="615">
        <v>73</v>
      </c>
    </row>
    <row r="65" spans="2:6" ht="15">
      <c r="B65" s="618" t="s">
        <v>906</v>
      </c>
      <c r="C65" s="615">
        <v>221.7</v>
      </c>
      <c r="E65" s="614" t="s">
        <v>907</v>
      </c>
      <c r="F65" s="615">
        <v>98</v>
      </c>
    </row>
    <row r="66" spans="2:6" ht="15">
      <c r="B66" s="618" t="s">
        <v>908</v>
      </c>
      <c r="C66" s="615">
        <v>195.6</v>
      </c>
    </row>
    <row r="67" spans="2:6" ht="15">
      <c r="B67" s="618" t="s">
        <v>909</v>
      </c>
      <c r="C67" s="615">
        <v>2933.2</v>
      </c>
    </row>
    <row r="68" spans="2:6" ht="15">
      <c r="B68" s="618" t="s">
        <v>910</v>
      </c>
      <c r="C68" s="615">
        <v>283.39999999999998</v>
      </c>
    </row>
    <row r="69" spans="2:6" ht="15">
      <c r="B69" s="618" t="s">
        <v>911</v>
      </c>
      <c r="C69" s="615">
        <v>1333.2</v>
      </c>
    </row>
    <row r="70" spans="2:6" ht="15">
      <c r="B70" s="618" t="s">
        <v>912</v>
      </c>
      <c r="C70" s="615">
        <v>258.3</v>
      </c>
    </row>
    <row r="71" spans="2:6" ht="15">
      <c r="B71" s="618" t="s">
        <v>913</v>
      </c>
      <c r="C71" s="615">
        <v>424.5</v>
      </c>
    </row>
    <row r="72" spans="2:6" ht="15">
      <c r="B72" s="618" t="s">
        <v>912</v>
      </c>
      <c r="C72" s="615">
        <v>403.7</v>
      </c>
    </row>
    <row r="73" spans="2:6" ht="15">
      <c r="B73" s="618" t="s">
        <v>914</v>
      </c>
      <c r="C73" s="615">
        <v>464.8</v>
      </c>
    </row>
    <row r="74" spans="2:6" ht="15">
      <c r="B74" s="618" t="s">
        <v>915</v>
      </c>
      <c r="C74" s="615">
        <v>1843.52</v>
      </c>
    </row>
    <row r="75" spans="2:6" ht="30">
      <c r="B75" s="618" t="s">
        <v>916</v>
      </c>
      <c r="C75" s="615">
        <v>1394.1</v>
      </c>
    </row>
    <row r="76" spans="2:6" ht="15">
      <c r="B76" s="618" t="s">
        <v>912</v>
      </c>
      <c r="C76" s="615">
        <v>406.1</v>
      </c>
    </row>
    <row r="77" spans="2:6" ht="15">
      <c r="B77" s="618" t="s">
        <v>917</v>
      </c>
      <c r="C77" s="615">
        <v>2072</v>
      </c>
    </row>
    <row r="78" spans="2:6" ht="15">
      <c r="B78" s="618" t="s">
        <v>918</v>
      </c>
      <c r="C78" s="615">
        <v>1261.1199999999999</v>
      </c>
    </row>
    <row r="79" spans="2:6" ht="15">
      <c r="B79" s="618" t="s">
        <v>919</v>
      </c>
      <c r="C79" s="615">
        <v>1478.4</v>
      </c>
    </row>
    <row r="80" spans="2:6" ht="15">
      <c r="B80" s="618" t="s">
        <v>920</v>
      </c>
      <c r="C80" s="615">
        <v>698.88</v>
      </c>
    </row>
    <row r="81" spans="2:3" ht="30">
      <c r="B81" s="618" t="s">
        <v>921</v>
      </c>
      <c r="C81" s="615">
        <v>8</v>
      </c>
    </row>
    <row r="82" spans="2:3" ht="15">
      <c r="B82" s="618" t="s">
        <v>922</v>
      </c>
      <c r="C82" s="615">
        <v>1843.52</v>
      </c>
    </row>
    <row r="83" spans="2:3" ht="30">
      <c r="B83" s="618" t="s">
        <v>923</v>
      </c>
      <c r="C83" s="615">
        <v>2518.88</v>
      </c>
    </row>
    <row r="84" spans="2:3" ht="15">
      <c r="B84" s="618" t="s">
        <v>924</v>
      </c>
      <c r="C84" s="615">
        <v>2861.8</v>
      </c>
    </row>
    <row r="85" spans="2:3" ht="15">
      <c r="B85" s="618" t="s">
        <v>912</v>
      </c>
      <c r="C85" s="615">
        <v>324.5</v>
      </c>
    </row>
    <row r="86" spans="2:3" ht="15">
      <c r="B86" s="618" t="s">
        <v>925</v>
      </c>
      <c r="C86" s="615">
        <v>1758.4</v>
      </c>
    </row>
    <row r="87" spans="2:3" ht="15">
      <c r="B87" s="618" t="s">
        <v>926</v>
      </c>
      <c r="C87" s="615">
        <v>3601.92</v>
      </c>
    </row>
    <row r="88" spans="2:3" ht="15">
      <c r="B88" s="618" t="s">
        <v>927</v>
      </c>
      <c r="C88" s="615">
        <v>464.8</v>
      </c>
    </row>
    <row r="89" spans="2:3" ht="15">
      <c r="B89" s="618" t="s">
        <v>928</v>
      </c>
      <c r="C89" s="615">
        <v>568.23</v>
      </c>
    </row>
    <row r="90" spans="2:3" ht="15">
      <c r="B90" s="618" t="s">
        <v>929</v>
      </c>
      <c r="C90" s="615">
        <v>1035.7</v>
      </c>
    </row>
    <row r="91" spans="2:3" ht="15">
      <c r="B91" s="618" t="s">
        <v>912</v>
      </c>
      <c r="C91" s="615">
        <v>211.6</v>
      </c>
    </row>
    <row r="92" spans="2:3" ht="15">
      <c r="B92" s="618" t="s">
        <v>930</v>
      </c>
      <c r="C92" s="615">
        <v>399.84</v>
      </c>
    </row>
    <row r="93" spans="2:3" ht="30">
      <c r="B93" s="618" t="s">
        <v>931</v>
      </c>
      <c r="C93" s="615">
        <v>963.2</v>
      </c>
    </row>
    <row r="94" spans="2:3" ht="15">
      <c r="B94" s="618" t="s">
        <v>932</v>
      </c>
      <c r="C94" s="615">
        <v>24268.16</v>
      </c>
    </row>
    <row r="95" spans="2:3" ht="30">
      <c r="B95" s="618" t="s">
        <v>933</v>
      </c>
      <c r="C95" s="615">
        <v>3426.65</v>
      </c>
    </row>
    <row r="96" spans="2:3" ht="15">
      <c r="B96" s="618" t="s">
        <v>934</v>
      </c>
      <c r="C96" s="615">
        <v>1314.6</v>
      </c>
    </row>
    <row r="97" spans="2:3" ht="15">
      <c r="B97" s="618" t="s">
        <v>912</v>
      </c>
      <c r="C97" s="615">
        <v>272.10000000000002</v>
      </c>
    </row>
    <row r="98" spans="2:3" ht="15">
      <c r="B98" s="618" t="s">
        <v>935</v>
      </c>
      <c r="C98" s="615">
        <v>1185.2</v>
      </c>
    </row>
    <row r="99" spans="2:3" ht="15">
      <c r="B99" s="618" t="s">
        <v>912</v>
      </c>
      <c r="C99" s="615">
        <v>406.1</v>
      </c>
    </row>
    <row r="100" spans="2:3" ht="15">
      <c r="B100" s="618" t="s">
        <v>936</v>
      </c>
      <c r="C100" s="615">
        <v>2143.8000000000002</v>
      </c>
    </row>
    <row r="101" spans="2:3" ht="15">
      <c r="B101" s="618" t="s">
        <v>912</v>
      </c>
      <c r="C101" s="615">
        <v>338.5</v>
      </c>
    </row>
    <row r="102" spans="2:3" ht="15">
      <c r="B102" s="618" t="s">
        <v>937</v>
      </c>
      <c r="C102" s="615">
        <v>899.36</v>
      </c>
    </row>
    <row r="103" spans="2:3" ht="15">
      <c r="B103" s="618" t="s">
        <v>938</v>
      </c>
      <c r="C103" s="615">
        <v>348.32</v>
      </c>
    </row>
    <row r="104" spans="2:3" ht="15">
      <c r="B104" s="618" t="s">
        <v>939</v>
      </c>
      <c r="C104" s="615">
        <v>124.32</v>
      </c>
    </row>
    <row r="105" spans="2:3" ht="15">
      <c r="B105" s="618" t="s">
        <v>952</v>
      </c>
      <c r="C105" s="615">
        <v>2663.7</v>
      </c>
    </row>
    <row r="106" spans="2:3" ht="15">
      <c r="B106" s="618" t="s">
        <v>912</v>
      </c>
      <c r="C106" s="615">
        <v>283.39999999999998</v>
      </c>
    </row>
  </sheetData>
  <mergeCells count="3">
    <mergeCell ref="A1:N1"/>
    <mergeCell ref="A2:F2"/>
    <mergeCell ref="I8:J8"/>
  </mergeCells>
  <printOptions horizontalCentered="1"/>
  <pageMargins left="0.70866141732283472" right="0.70866141732283472" top="0.74803149606299213" bottom="0.74803149606299213" header="0.31496062992125984" footer="0.31496062992125984"/>
  <pageSetup paperSize="5" scale="75" fitToHeight="2" orientation="landscape" r:id="rId1"/>
  <headerFooter>
    <oddFooter>Page &amp;P of &amp;N</oddFooter>
  </headerFooter>
</worksheet>
</file>

<file path=xl/worksheets/sheet37.xml><?xml version="1.0" encoding="utf-8"?>
<worksheet xmlns="http://schemas.openxmlformats.org/spreadsheetml/2006/main" xmlns:r="http://schemas.openxmlformats.org/officeDocument/2006/relationships">
  <dimension ref="A1:Q126"/>
  <sheetViews>
    <sheetView workbookViewId="0">
      <selection activeCell="N49" sqref="N49"/>
    </sheetView>
  </sheetViews>
  <sheetFormatPr defaultColWidth="17.85546875" defaultRowHeight="15"/>
  <cols>
    <col min="1" max="1" width="5.28515625" style="782" bestFit="1" customWidth="1"/>
    <col min="2" max="2" width="26.7109375" style="782" bestFit="1" customWidth="1"/>
    <col min="3" max="3" width="8.5703125" style="782" bestFit="1" customWidth="1"/>
    <col min="4" max="4" width="22.140625" style="782" customWidth="1"/>
    <col min="5" max="5" width="12.140625" style="782" bestFit="1" customWidth="1"/>
    <col min="6" max="6" width="9.28515625" style="782" bestFit="1" customWidth="1"/>
    <col min="7" max="7" width="11.42578125" style="782" bestFit="1" customWidth="1"/>
    <col min="8" max="8" width="18.5703125" style="782" bestFit="1" customWidth="1"/>
    <col min="9" max="9" width="9.42578125" style="782" bestFit="1" customWidth="1"/>
    <col min="10" max="10" width="8.42578125" style="782" bestFit="1" customWidth="1"/>
    <col min="11" max="11" width="7.28515625" style="782" bestFit="1" customWidth="1"/>
    <col min="12" max="12" width="8.85546875" style="782" bestFit="1" customWidth="1"/>
    <col min="13" max="13" width="12.140625" style="782" bestFit="1" customWidth="1"/>
    <col min="14" max="14" width="14.140625" style="782" bestFit="1" customWidth="1"/>
    <col min="15" max="16" width="17.85546875" style="782"/>
    <col min="17" max="17" width="15" style="782" customWidth="1"/>
    <col min="18" max="16384" width="17.85546875" style="782"/>
  </cols>
  <sheetData>
    <row r="1" spans="1:16" ht="20.25">
      <c r="A1" s="1675" t="s">
        <v>890</v>
      </c>
      <c r="B1" s="1675"/>
      <c r="C1" s="1675"/>
      <c r="D1" s="1675"/>
      <c r="E1" s="1675"/>
      <c r="F1" s="1675"/>
      <c r="G1" s="1675"/>
      <c r="H1" s="1675"/>
      <c r="I1" s="1675"/>
      <c r="J1" s="1675"/>
      <c r="K1" s="1675"/>
      <c r="L1" s="1675"/>
      <c r="M1" s="1675"/>
      <c r="N1" s="1675"/>
    </row>
    <row r="2" spans="1:16" ht="20.25">
      <c r="A2" s="1676" t="s">
        <v>766</v>
      </c>
      <c r="B2" s="1676"/>
      <c r="C2" s="1676"/>
      <c r="D2" s="1676"/>
      <c r="E2" s="1676"/>
      <c r="F2" s="1676"/>
      <c r="G2" s="779"/>
      <c r="H2" s="779"/>
      <c r="I2" s="779"/>
      <c r="J2" s="779"/>
      <c r="K2" s="779"/>
      <c r="L2" s="779"/>
      <c r="M2" s="779"/>
      <c r="N2" s="779"/>
    </row>
    <row r="3" spans="1:16" ht="32.25">
      <c r="A3" s="780"/>
      <c r="B3" s="780"/>
      <c r="C3" s="580" t="s">
        <v>767</v>
      </c>
      <c r="D3" s="580" t="s">
        <v>768</v>
      </c>
      <c r="E3" s="580" t="s">
        <v>769</v>
      </c>
      <c r="F3" s="780"/>
      <c r="G3" s="779"/>
      <c r="H3" s="779"/>
      <c r="I3" s="779"/>
      <c r="J3" s="779"/>
      <c r="K3" s="779"/>
      <c r="L3" s="779"/>
      <c r="M3" s="779"/>
      <c r="N3" s="779"/>
    </row>
    <row r="4" spans="1:16" ht="20.25">
      <c r="A4" s="780"/>
      <c r="B4" s="580" t="s">
        <v>770</v>
      </c>
      <c r="C4" s="581">
        <v>35.299999999999997</v>
      </c>
      <c r="D4" s="581">
        <v>33.799999999999997</v>
      </c>
      <c r="E4" s="581">
        <v>56.4</v>
      </c>
      <c r="F4" s="780"/>
      <c r="G4" s="779"/>
      <c r="H4" s="779"/>
      <c r="I4" s="779"/>
      <c r="J4" s="779"/>
      <c r="K4" s="779"/>
      <c r="L4" s="779"/>
      <c r="M4" s="779"/>
      <c r="N4" s="779"/>
    </row>
    <row r="5" spans="1:16" ht="20.25">
      <c r="A5" s="582"/>
      <c r="B5" s="583" t="s">
        <v>633</v>
      </c>
      <c r="C5" s="584">
        <v>94.1</v>
      </c>
      <c r="D5" s="584">
        <v>94.1</v>
      </c>
      <c r="E5" s="584">
        <v>150.4</v>
      </c>
      <c r="F5" s="582"/>
      <c r="G5" s="779"/>
      <c r="H5" s="779"/>
      <c r="I5" s="779"/>
      <c r="J5" s="779"/>
      <c r="K5" s="779"/>
      <c r="L5" s="779"/>
      <c r="M5" s="779"/>
      <c r="N5" s="779"/>
    </row>
    <row r="6" spans="1:16" ht="32.25">
      <c r="A6" s="582"/>
      <c r="B6" s="580" t="s">
        <v>634</v>
      </c>
      <c r="C6" s="584">
        <v>14.1</v>
      </c>
      <c r="D6" s="584">
        <v>14.1</v>
      </c>
      <c r="E6" s="584">
        <v>22.6</v>
      </c>
      <c r="F6" s="582"/>
      <c r="G6" s="779"/>
      <c r="H6" s="779"/>
      <c r="I6" s="779"/>
      <c r="J6" s="779"/>
      <c r="K6" s="779"/>
      <c r="L6" s="779"/>
      <c r="M6" s="779"/>
      <c r="N6" s="779"/>
    </row>
    <row r="7" spans="1:16" ht="32.25">
      <c r="A7" s="582"/>
      <c r="B7" s="580" t="s">
        <v>635</v>
      </c>
      <c r="C7" s="584">
        <v>11.8</v>
      </c>
      <c r="D7" s="584">
        <v>11.8</v>
      </c>
      <c r="E7" s="584">
        <v>18.8</v>
      </c>
      <c r="F7" s="582"/>
      <c r="G7" s="779"/>
      <c r="H7" s="779"/>
      <c r="I7" s="779"/>
      <c r="J7" s="779"/>
      <c r="K7" s="779"/>
      <c r="L7" s="779"/>
      <c r="M7" s="779"/>
      <c r="N7" s="779"/>
    </row>
    <row r="8" spans="1:16" ht="18.75">
      <c r="A8" s="585"/>
      <c r="B8" s="586"/>
      <c r="C8" s="585"/>
      <c r="D8" s="585"/>
      <c r="E8" s="585"/>
      <c r="F8" s="585"/>
      <c r="G8" s="585"/>
      <c r="H8" s="585"/>
      <c r="I8" s="1677"/>
      <c r="J8" s="1677"/>
      <c r="K8" s="613"/>
      <c r="L8" s="613"/>
      <c r="M8" s="613"/>
      <c r="N8" s="783"/>
    </row>
    <row r="9" spans="1:16" ht="51">
      <c r="A9" s="588" t="s">
        <v>758</v>
      </c>
      <c r="B9" s="589" t="s">
        <v>771</v>
      </c>
      <c r="C9" s="588" t="s">
        <v>9</v>
      </c>
      <c r="D9" s="588" t="s">
        <v>772</v>
      </c>
      <c r="E9" s="588" t="s">
        <v>773</v>
      </c>
      <c r="F9" s="588" t="s">
        <v>774</v>
      </c>
      <c r="G9" s="588" t="s">
        <v>775</v>
      </c>
      <c r="H9" s="588" t="s">
        <v>776</v>
      </c>
      <c r="I9" s="588" t="s">
        <v>777</v>
      </c>
      <c r="J9" s="588" t="s">
        <v>778</v>
      </c>
      <c r="K9" s="588" t="s">
        <v>878</v>
      </c>
      <c r="L9" s="588" t="s">
        <v>879</v>
      </c>
      <c r="M9" s="588" t="s">
        <v>941</v>
      </c>
      <c r="N9" s="590" t="s">
        <v>779</v>
      </c>
    </row>
    <row r="10" spans="1:16" ht="51">
      <c r="A10" s="591">
        <v>1</v>
      </c>
      <c r="B10" s="592" t="s">
        <v>1008</v>
      </c>
      <c r="C10" s="591" t="s">
        <v>109</v>
      </c>
      <c r="D10" s="593" t="s">
        <v>780</v>
      </c>
      <c r="E10" s="594">
        <v>21</v>
      </c>
      <c r="F10" s="594">
        <v>570</v>
      </c>
      <c r="G10" s="594">
        <f>IF(E10&gt;30,($C$5-$C$4+(25*$C$6)+((E10-30)*$C$7))/1.13615,(($C$5-$C$4+((E10-5)*$C$6))/1.13615))</f>
        <v>250.31905998327684</v>
      </c>
      <c r="H10" s="594">
        <v>0</v>
      </c>
      <c r="I10" s="594">
        <v>0</v>
      </c>
      <c r="J10" s="594">
        <v>0</v>
      </c>
      <c r="K10" s="594">
        <v>0</v>
      </c>
      <c r="L10" s="594">
        <v>0</v>
      </c>
      <c r="M10" s="594"/>
      <c r="N10" s="784">
        <f>J10+I10-H10+G10+F10+K10+L10+M10</f>
        <v>820.31905998327682</v>
      </c>
      <c r="P10" s="785"/>
    </row>
    <row r="11" spans="1:16" ht="51">
      <c r="A11" s="591"/>
      <c r="B11" s="592" t="s">
        <v>881</v>
      </c>
      <c r="C11" s="591" t="s">
        <v>109</v>
      </c>
      <c r="D11" s="593" t="s">
        <v>780</v>
      </c>
      <c r="E11" s="594">
        <v>161</v>
      </c>
      <c r="F11" s="594">
        <v>570</v>
      </c>
      <c r="G11" s="594">
        <f>IF(E11&gt;30,($C$5-$C$4+(25*$C$6)+((E11-30)*$C$7))/1.13615,(($C$5-$C$4+((E11-5)*$C$6))/1.13615))</f>
        <v>1722.5718435065794</v>
      </c>
      <c r="H11" s="594">
        <v>0</v>
      </c>
      <c r="I11" s="594">
        <v>0</v>
      </c>
      <c r="J11" s="594">
        <v>0</v>
      </c>
      <c r="K11" s="594">
        <v>0</v>
      </c>
      <c r="L11" s="594">
        <v>0</v>
      </c>
      <c r="M11" s="594"/>
      <c r="N11" s="784">
        <f t="shared" ref="N11:N44" si="0">J11+I11-H11+G11+F11+K11+L11+M11</f>
        <v>2292.5718435065792</v>
      </c>
      <c r="P11" s="785"/>
    </row>
    <row r="12" spans="1:16" ht="63.75">
      <c r="A12" s="591">
        <v>2</v>
      </c>
      <c r="B12" s="592" t="s">
        <v>781</v>
      </c>
      <c r="C12" s="591" t="s">
        <v>109</v>
      </c>
      <c r="D12" s="593" t="s">
        <v>782</v>
      </c>
      <c r="E12" s="594">
        <v>161</v>
      </c>
      <c r="F12" s="594">
        <v>760</v>
      </c>
      <c r="G12" s="594">
        <f>IF(E12&gt;30,($C$5-$C$4+(25*$C$6)+((E12-30)*$C$7))/1.13615,(($C$5-$C$4+((E12-5)*$C$6))/1.13615))</f>
        <v>1722.5718435065794</v>
      </c>
      <c r="H12" s="594">
        <v>0</v>
      </c>
      <c r="I12" s="594">
        <v>0</v>
      </c>
      <c r="J12" s="594">
        <v>0</v>
      </c>
      <c r="K12" s="594">
        <v>0</v>
      </c>
      <c r="L12" s="594">
        <v>0</v>
      </c>
      <c r="M12" s="594"/>
      <c r="N12" s="784">
        <f t="shared" si="0"/>
        <v>2482.5718435065792</v>
      </c>
      <c r="P12" s="785"/>
    </row>
    <row r="13" spans="1:16" ht="25.5">
      <c r="A13" s="591">
        <v>3</v>
      </c>
      <c r="B13" s="592" t="s">
        <v>789</v>
      </c>
      <c r="C13" s="591" t="s">
        <v>109</v>
      </c>
      <c r="D13" s="593" t="s">
        <v>783</v>
      </c>
      <c r="E13" s="594">
        <v>16</v>
      </c>
      <c r="F13" s="594">
        <v>485</v>
      </c>
      <c r="G13" s="594">
        <f t="shared" ref="G13:G14" si="1">IF(E13&gt;30,($C$5-$D$4+(25*$C$6)+((E13-30)*$C$7))/1.13615,(($C$5-$D$4+((E13-5)*$C$6))/1.13615))</f>
        <v>189.58764247678562</v>
      </c>
      <c r="H13" s="594">
        <v>0</v>
      </c>
      <c r="I13" s="594">
        <f>25%*F13</f>
        <v>121.25</v>
      </c>
      <c r="J13" s="594">
        <v>0</v>
      </c>
      <c r="K13" s="594">
        <v>0</v>
      </c>
      <c r="L13" s="594">
        <v>0</v>
      </c>
      <c r="M13" s="594"/>
      <c r="N13" s="784">
        <f t="shared" si="0"/>
        <v>795.83764247678562</v>
      </c>
      <c r="P13" s="785"/>
    </row>
    <row r="14" spans="1:16" ht="51">
      <c r="A14" s="591">
        <v>3</v>
      </c>
      <c r="B14" s="592" t="s">
        <v>784</v>
      </c>
      <c r="C14" s="591" t="s">
        <v>109</v>
      </c>
      <c r="D14" s="593" t="s">
        <v>785</v>
      </c>
      <c r="E14" s="594">
        <v>16</v>
      </c>
      <c r="F14" s="594">
        <v>590</v>
      </c>
      <c r="G14" s="594">
        <f t="shared" si="1"/>
        <v>189.58764247678562</v>
      </c>
      <c r="H14" s="594">
        <v>0</v>
      </c>
      <c r="I14" s="594">
        <v>0</v>
      </c>
      <c r="J14" s="594">
        <v>0</v>
      </c>
      <c r="K14" s="594">
        <v>0</v>
      </c>
      <c r="L14" s="594">
        <v>0</v>
      </c>
      <c r="M14" s="594"/>
      <c r="N14" s="784">
        <f t="shared" si="0"/>
        <v>779.58764247678562</v>
      </c>
      <c r="P14" s="785"/>
    </row>
    <row r="15" spans="1:16" ht="25.5">
      <c r="A15" s="591"/>
      <c r="B15" s="592" t="s">
        <v>786</v>
      </c>
      <c r="C15" s="591" t="s">
        <v>109</v>
      </c>
      <c r="D15" s="593"/>
      <c r="E15" s="594">
        <v>16</v>
      </c>
      <c r="F15" s="594"/>
      <c r="G15" s="594"/>
      <c r="H15" s="594"/>
      <c r="I15" s="594"/>
      <c r="J15" s="594"/>
      <c r="K15" s="594"/>
      <c r="L15" s="594"/>
      <c r="M15" s="594"/>
      <c r="N15" s="784">
        <f>AVERAGE(N14,N11)</f>
        <v>1536.0797429916825</v>
      </c>
      <c r="P15" s="785"/>
    </row>
    <row r="16" spans="1:16" ht="25.5">
      <c r="A16" s="591"/>
      <c r="B16" s="592" t="s">
        <v>787</v>
      </c>
      <c r="C16" s="591" t="s">
        <v>109</v>
      </c>
      <c r="D16" s="593"/>
      <c r="E16" s="594">
        <v>16</v>
      </c>
      <c r="F16" s="594"/>
      <c r="G16" s="594"/>
      <c r="H16" s="594"/>
      <c r="I16" s="594"/>
      <c r="J16" s="594"/>
      <c r="K16" s="594"/>
      <c r="L16" s="594"/>
      <c r="M16" s="594"/>
      <c r="N16" s="784">
        <f>AVERAGE(N12,N14)</f>
        <v>1631.0797429916825</v>
      </c>
      <c r="P16" s="785"/>
    </row>
    <row r="17" spans="1:16">
      <c r="A17" s="591"/>
      <c r="B17" s="592" t="s">
        <v>788</v>
      </c>
      <c r="C17" s="591" t="s">
        <v>109</v>
      </c>
      <c r="D17" s="593"/>
      <c r="E17" s="594">
        <v>16</v>
      </c>
      <c r="F17" s="594"/>
      <c r="G17" s="594"/>
      <c r="H17" s="594"/>
      <c r="I17" s="594"/>
      <c r="J17" s="594"/>
      <c r="K17" s="594"/>
      <c r="L17" s="594"/>
      <c r="M17" s="594"/>
      <c r="N17" s="784">
        <f>AVERAGE(N10,N14)</f>
        <v>799.95335123003122</v>
      </c>
      <c r="P17" s="785"/>
    </row>
    <row r="18" spans="1:16">
      <c r="A18" s="591">
        <v>4</v>
      </c>
      <c r="B18" s="596" t="s">
        <v>790</v>
      </c>
      <c r="C18" s="591" t="s">
        <v>109</v>
      </c>
      <c r="D18" s="593" t="s">
        <v>791</v>
      </c>
      <c r="E18" s="594">
        <v>16</v>
      </c>
      <c r="F18" s="594">
        <v>485</v>
      </c>
      <c r="G18" s="594">
        <f>IF(E18&gt;30,($C$5-$D$4+(25*$C$6)+((E18-30)*$C$7))/1.13615,(($C$5-$D$4+((E18-5)*$C$6))/1.13615))</f>
        <v>189.58764247678562</v>
      </c>
      <c r="H18" s="594">
        <v>0</v>
      </c>
      <c r="I18" s="594">
        <f>F18*25%</f>
        <v>121.25</v>
      </c>
      <c r="J18" s="594">
        <v>70</v>
      </c>
      <c r="K18" s="594">
        <v>0</v>
      </c>
      <c r="L18" s="594">
        <v>0</v>
      </c>
      <c r="M18" s="594">
        <v>-9.9</v>
      </c>
      <c r="N18" s="784">
        <f t="shared" si="0"/>
        <v>855.93764247678564</v>
      </c>
      <c r="P18" s="785"/>
    </row>
    <row r="19" spans="1:16">
      <c r="A19" s="591">
        <v>5</v>
      </c>
      <c r="B19" s="596" t="s">
        <v>792</v>
      </c>
      <c r="C19" s="591" t="s">
        <v>109</v>
      </c>
      <c r="D19" s="593" t="s">
        <v>793</v>
      </c>
      <c r="E19" s="594">
        <v>16</v>
      </c>
      <c r="F19" s="594">
        <v>485</v>
      </c>
      <c r="G19" s="594">
        <f t="shared" ref="G19:G39" si="2">IF(E19&gt;30,($C$5-$D$4+(25*$C$6)+((E19-30)*$C$7))/1.13615,(($C$5-$D$4+((E19-5)*$C$6))/1.13615))</f>
        <v>189.58764247678562</v>
      </c>
      <c r="H19" s="594">
        <v>0</v>
      </c>
      <c r="I19" s="594">
        <f>F19*25%</f>
        <v>121.25</v>
      </c>
      <c r="J19" s="594">
        <v>70</v>
      </c>
      <c r="K19" s="594">
        <v>0</v>
      </c>
      <c r="L19" s="594">
        <v>0</v>
      </c>
      <c r="M19" s="594">
        <v>-9.9</v>
      </c>
      <c r="N19" s="784">
        <f t="shared" si="0"/>
        <v>855.93764247678564</v>
      </c>
      <c r="P19" s="785"/>
    </row>
    <row r="20" spans="1:16">
      <c r="A20" s="591">
        <v>6</v>
      </c>
      <c r="B20" s="596" t="s">
        <v>794</v>
      </c>
      <c r="C20" s="591" t="s">
        <v>109</v>
      </c>
      <c r="D20" s="593" t="s">
        <v>795</v>
      </c>
      <c r="E20" s="594">
        <v>16</v>
      </c>
      <c r="F20" s="594">
        <v>620</v>
      </c>
      <c r="G20" s="594">
        <f t="shared" si="2"/>
        <v>189.58764247678562</v>
      </c>
      <c r="H20" s="594">
        <v>0</v>
      </c>
      <c r="I20" s="594">
        <f t="shared" ref="I20:I28" si="3">F20*25%</f>
        <v>155</v>
      </c>
      <c r="J20" s="594">
        <v>70</v>
      </c>
      <c r="K20" s="594">
        <v>0</v>
      </c>
      <c r="L20" s="594">
        <v>0</v>
      </c>
      <c r="M20" s="594">
        <v>-9.9</v>
      </c>
      <c r="N20" s="784">
        <f t="shared" si="0"/>
        <v>1024.6876424767856</v>
      </c>
      <c r="O20" s="785"/>
      <c r="P20" s="785"/>
    </row>
    <row r="21" spans="1:16">
      <c r="A21" s="591">
        <v>7</v>
      </c>
      <c r="B21" s="596" t="s">
        <v>796</v>
      </c>
      <c r="C21" s="591" t="s">
        <v>109</v>
      </c>
      <c r="D21" s="593" t="s">
        <v>797</v>
      </c>
      <c r="E21" s="594">
        <v>16</v>
      </c>
      <c r="F21" s="594">
        <v>700</v>
      </c>
      <c r="G21" s="594">
        <f t="shared" si="2"/>
        <v>189.58764247678562</v>
      </c>
      <c r="H21" s="594">
        <v>0</v>
      </c>
      <c r="I21" s="594">
        <f t="shared" si="3"/>
        <v>175</v>
      </c>
      <c r="J21" s="594">
        <v>70</v>
      </c>
      <c r="K21" s="594">
        <v>0</v>
      </c>
      <c r="L21" s="594">
        <v>0</v>
      </c>
      <c r="M21" s="594">
        <v>-9.9</v>
      </c>
      <c r="N21" s="784">
        <f t="shared" si="0"/>
        <v>1124.6876424767856</v>
      </c>
      <c r="P21" s="785"/>
    </row>
    <row r="22" spans="1:16">
      <c r="A22" s="591">
        <v>8</v>
      </c>
      <c r="B22" s="596" t="s">
        <v>798</v>
      </c>
      <c r="C22" s="591" t="s">
        <v>109</v>
      </c>
      <c r="D22" s="593" t="s">
        <v>799</v>
      </c>
      <c r="E22" s="594">
        <v>16</v>
      </c>
      <c r="F22" s="594">
        <v>821</v>
      </c>
      <c r="G22" s="594">
        <f t="shared" si="2"/>
        <v>189.58764247678562</v>
      </c>
      <c r="H22" s="594">
        <v>0</v>
      </c>
      <c r="I22" s="594">
        <f t="shared" si="3"/>
        <v>205.25</v>
      </c>
      <c r="J22" s="594">
        <v>70</v>
      </c>
      <c r="K22" s="594">
        <v>0</v>
      </c>
      <c r="L22" s="594">
        <v>0</v>
      </c>
      <c r="M22" s="594">
        <v>-9.9</v>
      </c>
      <c r="N22" s="784">
        <f t="shared" si="0"/>
        <v>1275.9376424767856</v>
      </c>
      <c r="P22" s="785"/>
    </row>
    <row r="23" spans="1:16">
      <c r="A23" s="591">
        <v>9</v>
      </c>
      <c r="B23" s="596" t="s">
        <v>800</v>
      </c>
      <c r="C23" s="591" t="s">
        <v>109</v>
      </c>
      <c r="D23" s="593" t="s">
        <v>801</v>
      </c>
      <c r="E23" s="594">
        <v>16</v>
      </c>
      <c r="F23" s="594">
        <v>790</v>
      </c>
      <c r="G23" s="594">
        <f t="shared" si="2"/>
        <v>189.58764247678562</v>
      </c>
      <c r="H23" s="594">
        <v>0</v>
      </c>
      <c r="I23" s="594">
        <f t="shared" si="3"/>
        <v>197.5</v>
      </c>
      <c r="J23" s="594">
        <v>70</v>
      </c>
      <c r="K23" s="594">
        <v>0</v>
      </c>
      <c r="L23" s="594">
        <v>0</v>
      </c>
      <c r="M23" s="594">
        <v>-9.9</v>
      </c>
      <c r="N23" s="784">
        <f t="shared" si="0"/>
        <v>1237.1876424767856</v>
      </c>
      <c r="O23" s="785"/>
      <c r="P23" s="785"/>
    </row>
    <row r="24" spans="1:16">
      <c r="A24" s="591">
        <v>10</v>
      </c>
      <c r="B24" s="596" t="s">
        <v>802</v>
      </c>
      <c r="C24" s="591" t="s">
        <v>109</v>
      </c>
      <c r="D24" s="593" t="s">
        <v>803</v>
      </c>
      <c r="E24" s="594">
        <v>16</v>
      </c>
      <c r="F24" s="594">
        <v>520</v>
      </c>
      <c r="G24" s="594">
        <f t="shared" si="2"/>
        <v>189.58764247678562</v>
      </c>
      <c r="H24" s="594">
        <v>0</v>
      </c>
      <c r="I24" s="594">
        <f t="shared" si="3"/>
        <v>130</v>
      </c>
      <c r="J24" s="594">
        <v>70</v>
      </c>
      <c r="K24" s="594">
        <v>0</v>
      </c>
      <c r="L24" s="594">
        <v>0</v>
      </c>
      <c r="M24" s="594">
        <v>-9.9</v>
      </c>
      <c r="N24" s="784">
        <f t="shared" si="0"/>
        <v>899.68764247678564</v>
      </c>
      <c r="P24" s="785"/>
    </row>
    <row r="25" spans="1:16">
      <c r="A25" s="591">
        <v>11</v>
      </c>
      <c r="B25" s="596" t="s">
        <v>804</v>
      </c>
      <c r="C25" s="591" t="s">
        <v>109</v>
      </c>
      <c r="D25" s="593" t="s">
        <v>805</v>
      </c>
      <c r="E25" s="594">
        <v>16</v>
      </c>
      <c r="F25" s="594">
        <v>440</v>
      </c>
      <c r="G25" s="594">
        <f t="shared" si="2"/>
        <v>189.58764247678562</v>
      </c>
      <c r="H25" s="594">
        <v>0</v>
      </c>
      <c r="I25" s="594">
        <f t="shared" si="3"/>
        <v>110</v>
      </c>
      <c r="J25" s="594">
        <v>70</v>
      </c>
      <c r="K25" s="594">
        <v>0</v>
      </c>
      <c r="L25" s="594">
        <v>0</v>
      </c>
      <c r="M25" s="594">
        <v>-9.9</v>
      </c>
      <c r="N25" s="784">
        <f t="shared" si="0"/>
        <v>799.68764247678564</v>
      </c>
      <c r="P25" s="785"/>
    </row>
    <row r="26" spans="1:16">
      <c r="A26" s="591">
        <v>12</v>
      </c>
      <c r="B26" s="596" t="s">
        <v>806</v>
      </c>
      <c r="C26" s="591" t="s">
        <v>109</v>
      </c>
      <c r="D26" s="593" t="s">
        <v>807</v>
      </c>
      <c r="E26" s="594">
        <v>16</v>
      </c>
      <c r="F26" s="594">
        <v>400</v>
      </c>
      <c r="G26" s="594">
        <f t="shared" si="2"/>
        <v>189.58764247678562</v>
      </c>
      <c r="H26" s="594">
        <v>0</v>
      </c>
      <c r="I26" s="594">
        <f t="shared" si="3"/>
        <v>100</v>
      </c>
      <c r="J26" s="594">
        <v>70</v>
      </c>
      <c r="K26" s="594">
        <v>0</v>
      </c>
      <c r="L26" s="594">
        <v>0</v>
      </c>
      <c r="M26" s="594">
        <v>-9.9</v>
      </c>
      <c r="N26" s="784">
        <f t="shared" si="0"/>
        <v>749.68764247678564</v>
      </c>
      <c r="O26" s="785"/>
      <c r="P26" s="785"/>
    </row>
    <row r="27" spans="1:16">
      <c r="A27" s="591">
        <v>13</v>
      </c>
      <c r="B27" s="596" t="s">
        <v>808</v>
      </c>
      <c r="C27" s="591" t="s">
        <v>109</v>
      </c>
      <c r="D27" s="593" t="s">
        <v>809</v>
      </c>
      <c r="E27" s="594">
        <v>16</v>
      </c>
      <c r="F27" s="594">
        <v>360</v>
      </c>
      <c r="G27" s="594">
        <f t="shared" si="2"/>
        <v>189.58764247678562</v>
      </c>
      <c r="H27" s="594">
        <v>0</v>
      </c>
      <c r="I27" s="594">
        <f t="shared" si="3"/>
        <v>90</v>
      </c>
      <c r="J27" s="594">
        <v>70</v>
      </c>
      <c r="K27" s="594">
        <v>0</v>
      </c>
      <c r="L27" s="594">
        <v>0</v>
      </c>
      <c r="M27" s="594">
        <v>-9.9</v>
      </c>
      <c r="N27" s="784">
        <f t="shared" si="0"/>
        <v>699.68764247678564</v>
      </c>
      <c r="P27" s="785"/>
    </row>
    <row r="28" spans="1:16">
      <c r="A28" s="591">
        <v>14</v>
      </c>
      <c r="B28" s="596" t="s">
        <v>810</v>
      </c>
      <c r="C28" s="591" t="s">
        <v>109</v>
      </c>
      <c r="D28" s="593" t="s">
        <v>811</v>
      </c>
      <c r="E28" s="594">
        <v>16</v>
      </c>
      <c r="F28" s="594">
        <v>290</v>
      </c>
      <c r="G28" s="594">
        <f t="shared" si="2"/>
        <v>189.58764247678562</v>
      </c>
      <c r="H28" s="594">
        <v>0</v>
      </c>
      <c r="I28" s="594">
        <f t="shared" si="3"/>
        <v>72.5</v>
      </c>
      <c r="J28" s="594">
        <v>70</v>
      </c>
      <c r="K28" s="594">
        <v>0</v>
      </c>
      <c r="L28" s="594">
        <v>0</v>
      </c>
      <c r="M28" s="594">
        <v>-9.9</v>
      </c>
      <c r="N28" s="784">
        <f t="shared" si="0"/>
        <v>612.18764247678564</v>
      </c>
      <c r="P28" s="785"/>
    </row>
    <row r="29" spans="1:16" ht="25.5">
      <c r="A29" s="591">
        <v>15</v>
      </c>
      <c r="B29" s="592" t="s">
        <v>812</v>
      </c>
      <c r="C29" s="591" t="s">
        <v>109</v>
      </c>
      <c r="D29" s="593" t="s">
        <v>813</v>
      </c>
      <c r="E29" s="594">
        <v>16</v>
      </c>
      <c r="F29" s="597">
        <v>90</v>
      </c>
      <c r="G29" s="594">
        <f t="shared" si="2"/>
        <v>189.58764247678562</v>
      </c>
      <c r="H29" s="594">
        <v>0</v>
      </c>
      <c r="I29" s="594">
        <v>0</v>
      </c>
      <c r="J29" s="594">
        <v>70</v>
      </c>
      <c r="K29" s="594">
        <v>0</v>
      </c>
      <c r="L29" s="594">
        <v>0</v>
      </c>
      <c r="M29" s="594">
        <v>0</v>
      </c>
      <c r="N29" s="784">
        <f t="shared" si="0"/>
        <v>349.58764247678562</v>
      </c>
      <c r="O29" s="785"/>
      <c r="P29" s="785"/>
    </row>
    <row r="30" spans="1:16">
      <c r="A30" s="591">
        <v>16</v>
      </c>
      <c r="B30" s="596" t="s">
        <v>42</v>
      </c>
      <c r="C30" s="591" t="s">
        <v>109</v>
      </c>
      <c r="D30" s="593" t="s">
        <v>814</v>
      </c>
      <c r="E30" s="594">
        <v>8</v>
      </c>
      <c r="F30" s="594">
        <v>98</v>
      </c>
      <c r="G30" s="594">
        <f>IF(E30&gt;30,($C$5-$C$4+(25*$C$6)+((E30-30)*$C$7))/1.13615,(($C$5-$C$4+((E30-5)*$C$6))/1.13615))</f>
        <v>88.984729129076257</v>
      </c>
      <c r="H30" s="594">
        <v>0</v>
      </c>
      <c r="I30" s="594">
        <v>0</v>
      </c>
      <c r="J30" s="594">
        <v>0</v>
      </c>
      <c r="K30" s="594">
        <v>0</v>
      </c>
      <c r="L30" s="594">
        <v>0</v>
      </c>
      <c r="M30" s="594"/>
      <c r="N30" s="784">
        <f t="shared" si="0"/>
        <v>186.98472912907624</v>
      </c>
      <c r="P30" s="785"/>
    </row>
    <row r="31" spans="1:16">
      <c r="A31" s="591">
        <v>17</v>
      </c>
      <c r="B31" s="592" t="s">
        <v>815</v>
      </c>
      <c r="C31" s="591" t="s">
        <v>109</v>
      </c>
      <c r="D31" s="593" t="s">
        <v>816</v>
      </c>
      <c r="E31" s="594">
        <v>16</v>
      </c>
      <c r="F31" s="594">
        <v>77</v>
      </c>
      <c r="G31" s="594">
        <f t="shared" si="2"/>
        <v>189.58764247678562</v>
      </c>
      <c r="H31" s="594">
        <v>0</v>
      </c>
      <c r="I31" s="594">
        <v>0</v>
      </c>
      <c r="J31" s="594">
        <v>0</v>
      </c>
      <c r="K31" s="594">
        <v>0</v>
      </c>
      <c r="L31" s="594">
        <v>0</v>
      </c>
      <c r="M31" s="594"/>
      <c r="N31" s="784">
        <f t="shared" si="0"/>
        <v>266.58764247678562</v>
      </c>
      <c r="P31" s="785"/>
    </row>
    <row r="32" spans="1:16">
      <c r="A32" s="591">
        <v>18</v>
      </c>
      <c r="B32" s="596" t="s">
        <v>817</v>
      </c>
      <c r="C32" s="591" t="s">
        <v>109</v>
      </c>
      <c r="D32" s="593" t="s">
        <v>797</v>
      </c>
      <c r="E32" s="594">
        <v>16</v>
      </c>
      <c r="F32" s="597">
        <v>870</v>
      </c>
      <c r="G32" s="594">
        <f t="shared" si="2"/>
        <v>189.58764247678562</v>
      </c>
      <c r="H32" s="594">
        <v>0</v>
      </c>
      <c r="I32" s="594">
        <f>F32*25%</f>
        <v>217.5</v>
      </c>
      <c r="J32" s="594">
        <v>70</v>
      </c>
      <c r="K32" s="594">
        <v>0</v>
      </c>
      <c r="L32" s="594">
        <v>0</v>
      </c>
      <c r="M32" s="594">
        <v>-9.9</v>
      </c>
      <c r="N32" s="784">
        <f t="shared" si="0"/>
        <v>1337.1876424767856</v>
      </c>
      <c r="P32" s="785"/>
    </row>
    <row r="33" spans="1:16">
      <c r="A33" s="591">
        <v>19</v>
      </c>
      <c r="B33" s="596" t="s">
        <v>818</v>
      </c>
      <c r="C33" s="591" t="s">
        <v>109</v>
      </c>
      <c r="D33" s="593" t="s">
        <v>799</v>
      </c>
      <c r="E33" s="594">
        <v>16</v>
      </c>
      <c r="F33" s="597">
        <v>505</v>
      </c>
      <c r="G33" s="594">
        <f t="shared" si="2"/>
        <v>189.58764247678562</v>
      </c>
      <c r="H33" s="594">
        <v>0</v>
      </c>
      <c r="I33" s="594">
        <f>F33*25%</f>
        <v>126.25</v>
      </c>
      <c r="J33" s="594">
        <v>70</v>
      </c>
      <c r="K33" s="594">
        <v>0</v>
      </c>
      <c r="L33" s="594">
        <v>0</v>
      </c>
      <c r="M33" s="594">
        <v>-9.9</v>
      </c>
      <c r="N33" s="784">
        <f t="shared" si="0"/>
        <v>880.93764247678564</v>
      </c>
      <c r="P33" s="785"/>
    </row>
    <row r="34" spans="1:16">
      <c r="A34" s="591">
        <v>20</v>
      </c>
      <c r="B34" s="596" t="s">
        <v>819</v>
      </c>
      <c r="C34" s="591" t="s">
        <v>109</v>
      </c>
      <c r="D34" s="593" t="s">
        <v>820</v>
      </c>
      <c r="E34" s="594">
        <v>16</v>
      </c>
      <c r="F34" s="597">
        <v>657</v>
      </c>
      <c r="G34" s="594">
        <f t="shared" si="2"/>
        <v>189.58764247678562</v>
      </c>
      <c r="H34" s="594">
        <v>0</v>
      </c>
      <c r="I34" s="594">
        <f>F34*25%</f>
        <v>164.25</v>
      </c>
      <c r="J34" s="594">
        <v>70</v>
      </c>
      <c r="K34" s="594">
        <v>0</v>
      </c>
      <c r="L34" s="594">
        <v>0</v>
      </c>
      <c r="M34" s="594">
        <v>-9.9</v>
      </c>
      <c r="N34" s="784">
        <f t="shared" si="0"/>
        <v>1070.9376424767856</v>
      </c>
      <c r="P34" s="785"/>
    </row>
    <row r="35" spans="1:16">
      <c r="A35" s="591">
        <v>21</v>
      </c>
      <c r="B35" s="596" t="s">
        <v>821</v>
      </c>
      <c r="C35" s="591" t="s">
        <v>109</v>
      </c>
      <c r="D35" s="593" t="s">
        <v>822</v>
      </c>
      <c r="E35" s="594">
        <v>16</v>
      </c>
      <c r="F35" s="594">
        <v>239</v>
      </c>
      <c r="G35" s="594">
        <f t="shared" si="2"/>
        <v>189.58764247678562</v>
      </c>
      <c r="H35" s="594">
        <v>0</v>
      </c>
      <c r="I35" s="594">
        <v>0</v>
      </c>
      <c r="J35" s="594">
        <v>70</v>
      </c>
      <c r="K35" s="594">
        <v>0</v>
      </c>
      <c r="L35" s="594">
        <v>0</v>
      </c>
      <c r="M35" s="594"/>
      <c r="N35" s="784">
        <f t="shared" si="0"/>
        <v>498.58764247678562</v>
      </c>
      <c r="P35" s="785"/>
    </row>
    <row r="36" spans="1:16">
      <c r="A36" s="610">
        <v>22</v>
      </c>
      <c r="B36" s="598" t="s">
        <v>1009</v>
      </c>
      <c r="C36" s="610" t="s">
        <v>109</v>
      </c>
      <c r="D36" s="611" t="s">
        <v>823</v>
      </c>
      <c r="E36" s="594">
        <v>16</v>
      </c>
      <c r="F36" s="597">
        <v>156</v>
      </c>
      <c r="G36" s="597">
        <f t="shared" si="2"/>
        <v>189.58764247678562</v>
      </c>
      <c r="H36" s="597">
        <v>0</v>
      </c>
      <c r="I36" s="597">
        <v>0</v>
      </c>
      <c r="J36" s="597">
        <v>70</v>
      </c>
      <c r="K36" s="594">
        <v>0</v>
      </c>
      <c r="L36" s="594">
        <v>0</v>
      </c>
      <c r="M36" s="594"/>
      <c r="N36" s="784">
        <f t="shared" si="0"/>
        <v>415.58764247678562</v>
      </c>
      <c r="O36" s="786"/>
      <c r="P36" s="785"/>
    </row>
    <row r="37" spans="1:16" ht="25.5">
      <c r="A37" s="610">
        <v>23</v>
      </c>
      <c r="B37" s="598" t="s">
        <v>882</v>
      </c>
      <c r="C37" s="610" t="s">
        <v>109</v>
      </c>
      <c r="D37" s="611" t="s">
        <v>883</v>
      </c>
      <c r="E37" s="594">
        <v>16</v>
      </c>
      <c r="F37" s="597">
        <v>249</v>
      </c>
      <c r="G37" s="597">
        <f t="shared" si="2"/>
        <v>189.58764247678562</v>
      </c>
      <c r="H37" s="597">
        <v>0</v>
      </c>
      <c r="I37" s="597">
        <v>0</v>
      </c>
      <c r="J37" s="597">
        <v>70</v>
      </c>
      <c r="K37" s="594">
        <v>0</v>
      </c>
      <c r="L37" s="594">
        <v>0</v>
      </c>
      <c r="M37" s="594"/>
      <c r="N37" s="784">
        <f t="shared" si="0"/>
        <v>508.58764247678562</v>
      </c>
      <c r="P37" s="785"/>
    </row>
    <row r="38" spans="1:16">
      <c r="A38" s="591">
        <v>24</v>
      </c>
      <c r="B38" s="596" t="s">
        <v>824</v>
      </c>
      <c r="C38" s="591" t="s">
        <v>109</v>
      </c>
      <c r="D38" s="593" t="s">
        <v>825</v>
      </c>
      <c r="E38" s="594">
        <v>16</v>
      </c>
      <c r="F38" s="594">
        <f>(1/(0.6*0.2*0.2))*29</f>
        <v>1208.3333333333333</v>
      </c>
      <c r="G38" s="594">
        <f t="shared" si="2"/>
        <v>189.58764247678562</v>
      </c>
      <c r="H38" s="594">
        <v>0</v>
      </c>
      <c r="I38" s="594">
        <v>0</v>
      </c>
      <c r="J38" s="594">
        <v>0</v>
      </c>
      <c r="K38" s="594">
        <v>0</v>
      </c>
      <c r="L38" s="594">
        <v>0</v>
      </c>
      <c r="M38" s="594"/>
      <c r="N38" s="784">
        <f t="shared" si="0"/>
        <v>1397.9209758101188</v>
      </c>
      <c r="P38" s="785"/>
    </row>
    <row r="39" spans="1:16">
      <c r="A39" s="610">
        <v>25</v>
      </c>
      <c r="B39" s="596" t="s">
        <v>884</v>
      </c>
      <c r="C39" s="591" t="s">
        <v>109</v>
      </c>
      <c r="D39" s="593" t="s">
        <v>885</v>
      </c>
      <c r="E39" s="594">
        <v>16</v>
      </c>
      <c r="F39" s="594">
        <f>26/(0.2*0.2*0.45)</f>
        <v>1444.4444444444439</v>
      </c>
      <c r="G39" s="594">
        <f t="shared" si="2"/>
        <v>189.58764247678562</v>
      </c>
      <c r="H39" s="594">
        <v>0</v>
      </c>
      <c r="I39" s="594">
        <v>0</v>
      </c>
      <c r="J39" s="594">
        <v>0</v>
      </c>
      <c r="K39" s="594">
        <v>0</v>
      </c>
      <c r="L39" s="594">
        <v>0</v>
      </c>
      <c r="M39" s="594"/>
      <c r="N39" s="784">
        <f t="shared" si="0"/>
        <v>1634.0320869212296</v>
      </c>
      <c r="P39" s="785"/>
    </row>
    <row r="40" spans="1:16" ht="25.5">
      <c r="A40" s="610">
        <v>26</v>
      </c>
      <c r="B40" s="598" t="s">
        <v>826</v>
      </c>
      <c r="C40" s="787" t="s">
        <v>290</v>
      </c>
      <c r="D40" s="593" t="s">
        <v>780</v>
      </c>
      <c r="E40" s="594">
        <v>16</v>
      </c>
      <c r="F40" s="597">
        <v>69</v>
      </c>
      <c r="G40" s="594">
        <v>0</v>
      </c>
      <c r="H40" s="594">
        <v>0</v>
      </c>
      <c r="I40" s="594">
        <v>0</v>
      </c>
      <c r="J40" s="594">
        <v>0</v>
      </c>
      <c r="K40" s="594">
        <v>0</v>
      </c>
      <c r="L40" s="594">
        <v>0</v>
      </c>
      <c r="M40" s="594"/>
      <c r="N40" s="784">
        <f t="shared" si="0"/>
        <v>69</v>
      </c>
      <c r="P40" s="785"/>
    </row>
    <row r="41" spans="1:16" ht="25.5">
      <c r="A41" s="591">
        <v>27</v>
      </c>
      <c r="B41" s="612" t="s">
        <v>1010</v>
      </c>
      <c r="C41" s="591" t="s">
        <v>679</v>
      </c>
      <c r="D41" s="591" t="s">
        <v>827</v>
      </c>
      <c r="E41" s="594">
        <v>16</v>
      </c>
      <c r="F41" s="597">
        <v>5600</v>
      </c>
      <c r="G41" s="594">
        <v>0</v>
      </c>
      <c r="H41" s="601"/>
      <c r="I41" s="602"/>
      <c r="J41" s="602"/>
      <c r="K41" s="594">
        <v>0</v>
      </c>
      <c r="L41" s="594">
        <v>0</v>
      </c>
      <c r="M41" s="594"/>
      <c r="N41" s="784">
        <f t="shared" si="0"/>
        <v>5600</v>
      </c>
      <c r="P41" s="785"/>
    </row>
    <row r="42" spans="1:16">
      <c r="A42" s="591">
        <v>28</v>
      </c>
      <c r="B42" s="600" t="s">
        <v>886</v>
      </c>
      <c r="C42" s="591" t="s">
        <v>307</v>
      </c>
      <c r="D42" s="591" t="s">
        <v>887</v>
      </c>
      <c r="E42" s="594">
        <v>21</v>
      </c>
      <c r="F42" s="597">
        <f>6.5*1000</f>
        <v>6500</v>
      </c>
      <c r="G42" s="594">
        <f>IF(E42&gt;30,($E$5-$E$4+(25*$E$6)+((E42-30)*$C$7))/1.13615,(($E$5-$E$4+((E42-5)*$E$6))/1.13615))</f>
        <v>401.00338863706378</v>
      </c>
      <c r="H42" s="594">
        <v>0</v>
      </c>
      <c r="I42" s="594">
        <v>0</v>
      </c>
      <c r="J42" s="594">
        <v>0</v>
      </c>
      <c r="K42" s="594">
        <f>110.9/1.13615</f>
        <v>97.610350745940238</v>
      </c>
      <c r="L42" s="594">
        <f>17.8/1.13615</f>
        <v>15.666945385732518</v>
      </c>
      <c r="M42" s="594"/>
      <c r="N42" s="784">
        <f t="shared" si="0"/>
        <v>7014.2806847687361</v>
      </c>
      <c r="P42" s="785"/>
    </row>
    <row r="43" spans="1:16" ht="77.25">
      <c r="A43" s="610">
        <v>29</v>
      </c>
      <c r="B43" s="600" t="s">
        <v>1011</v>
      </c>
      <c r="C43" s="591" t="s">
        <v>307</v>
      </c>
      <c r="D43" s="591" t="s">
        <v>888</v>
      </c>
      <c r="E43" s="594">
        <v>11</v>
      </c>
      <c r="F43" s="597">
        <f>24*1000</f>
        <v>24000</v>
      </c>
      <c r="G43" s="594">
        <f>IF(E43&gt;30,($E$5-$E$4+(25*$E$6)+((E43-30)*$C$7))/1.13615,(($E$5-$E$4+((E43-5)*$E$6))/1.13615))</f>
        <v>202.08599216652732</v>
      </c>
      <c r="H43" s="594">
        <v>0</v>
      </c>
      <c r="I43" s="594">
        <v>0</v>
      </c>
      <c r="J43" s="594">
        <v>0</v>
      </c>
      <c r="K43" s="594">
        <f>110.9/1.13615</f>
        <v>97.610350745940238</v>
      </c>
      <c r="L43" s="594">
        <f>17.8/1.13615</f>
        <v>15.666945385732518</v>
      </c>
      <c r="M43" s="594"/>
      <c r="N43" s="784">
        <f t="shared" si="0"/>
        <v>24315.363288298202</v>
      </c>
      <c r="P43" s="785"/>
    </row>
    <row r="44" spans="1:16" ht="77.25">
      <c r="A44" s="610">
        <v>30</v>
      </c>
      <c r="B44" s="600" t="s">
        <v>1012</v>
      </c>
      <c r="C44" s="591" t="s">
        <v>307</v>
      </c>
      <c r="D44" s="593" t="s">
        <v>889</v>
      </c>
      <c r="E44" s="594">
        <v>11</v>
      </c>
      <c r="F44" s="597">
        <f>6*1000</f>
        <v>6000</v>
      </c>
      <c r="G44" s="594">
        <f>IF(E44&gt;30,($E$5-$E$4+(25*$E$6)+((E44-30)*$C$7))/1.13615,(($E$5-$E$4+((E44-5)*$E$6))/1.13615))</f>
        <v>202.08599216652732</v>
      </c>
      <c r="H44" s="594">
        <v>0</v>
      </c>
      <c r="I44" s="594">
        <v>0</v>
      </c>
      <c r="J44" s="594">
        <v>0</v>
      </c>
      <c r="K44" s="594">
        <f>110.9/1.13615</f>
        <v>97.610350745940238</v>
      </c>
      <c r="L44" s="594">
        <f>17.8/1.13615</f>
        <v>15.666945385732518</v>
      </c>
      <c r="M44" s="594"/>
      <c r="N44" s="784">
        <f t="shared" si="0"/>
        <v>6315.3632882981992</v>
      </c>
      <c r="P44" s="785"/>
    </row>
    <row r="45" spans="1:16">
      <c r="A45" s="610">
        <v>31</v>
      </c>
      <c r="B45" s="600" t="s">
        <v>1013</v>
      </c>
      <c r="C45" s="591" t="s">
        <v>679</v>
      </c>
      <c r="D45" s="593"/>
      <c r="E45" s="597"/>
      <c r="F45" s="597">
        <v>55000</v>
      </c>
      <c r="G45" s="594"/>
      <c r="H45" s="594"/>
      <c r="I45" s="594"/>
      <c r="J45" s="594"/>
      <c r="K45" s="594"/>
      <c r="L45" s="594"/>
      <c r="M45" s="594"/>
      <c r="N45" s="597">
        <f>F45</f>
        <v>55000</v>
      </c>
      <c r="P45" s="785"/>
    </row>
    <row r="46" spans="1:16">
      <c r="A46" s="610">
        <v>32</v>
      </c>
      <c r="B46" s="600" t="s">
        <v>1014</v>
      </c>
      <c r="C46" s="591" t="s">
        <v>679</v>
      </c>
      <c r="D46" s="593"/>
      <c r="E46" s="597"/>
      <c r="F46" s="597">
        <v>52000</v>
      </c>
      <c r="G46" s="594"/>
      <c r="H46" s="594"/>
      <c r="I46" s="594"/>
      <c r="J46" s="594"/>
      <c r="K46" s="594"/>
      <c r="L46" s="594"/>
      <c r="M46" s="594"/>
      <c r="N46" s="597">
        <f t="shared" ref="N46:N47" si="4">F46</f>
        <v>52000</v>
      </c>
      <c r="P46" s="785"/>
    </row>
    <row r="47" spans="1:16" ht="26.25">
      <c r="A47" s="610">
        <v>33</v>
      </c>
      <c r="B47" s="600" t="s">
        <v>1015</v>
      </c>
      <c r="C47" s="591" t="s">
        <v>679</v>
      </c>
      <c r="D47" s="593"/>
      <c r="E47" s="597"/>
      <c r="F47" s="597">
        <v>48000</v>
      </c>
      <c r="G47" s="594"/>
      <c r="H47" s="594"/>
      <c r="I47" s="594"/>
      <c r="J47" s="594"/>
      <c r="K47" s="594"/>
      <c r="L47" s="594"/>
      <c r="M47" s="594"/>
      <c r="N47" s="597">
        <f t="shared" si="4"/>
        <v>48000</v>
      </c>
      <c r="P47" s="785"/>
    </row>
    <row r="49" spans="2:17">
      <c r="B49" s="788" t="s">
        <v>891</v>
      </c>
      <c r="C49" s="789">
        <v>465</v>
      </c>
      <c r="D49" s="788"/>
      <c r="E49" s="788"/>
      <c r="F49" s="788"/>
      <c r="G49" s="788"/>
      <c r="H49" s="788" t="s">
        <v>892</v>
      </c>
      <c r="I49" s="788"/>
      <c r="J49" s="790">
        <v>0.2</v>
      </c>
      <c r="K49" s="790"/>
      <c r="L49" s="790"/>
      <c r="M49" s="790"/>
      <c r="N49" s="788"/>
      <c r="O49" s="788"/>
      <c r="P49" s="791"/>
      <c r="Q49" s="788"/>
    </row>
    <row r="50" spans="2:17">
      <c r="B50" s="788" t="s">
        <v>628</v>
      </c>
      <c r="C50" s="789">
        <v>520</v>
      </c>
      <c r="H50" s="788" t="s">
        <v>1016</v>
      </c>
      <c r="I50" s="788"/>
      <c r="J50" s="792">
        <v>0.1</v>
      </c>
      <c r="K50" s="792"/>
      <c r="L50" s="792"/>
      <c r="M50" s="792"/>
    </row>
    <row r="51" spans="2:17">
      <c r="B51" s="788" t="s">
        <v>894</v>
      </c>
      <c r="C51" s="789">
        <v>490</v>
      </c>
      <c r="H51" s="782" t="s">
        <v>1017</v>
      </c>
      <c r="J51" s="793">
        <v>2.615E-2</v>
      </c>
    </row>
    <row r="52" spans="2:17">
      <c r="B52" s="788" t="s">
        <v>895</v>
      </c>
      <c r="C52" s="789">
        <v>595</v>
      </c>
      <c r="H52" s="782" t="s">
        <v>1018</v>
      </c>
      <c r="J52" s="793">
        <v>0.14615</v>
      </c>
    </row>
    <row r="53" spans="2:17">
      <c r="B53" s="788" t="s">
        <v>420</v>
      </c>
      <c r="C53" s="789">
        <v>605</v>
      </c>
    </row>
    <row r="54" spans="2:17">
      <c r="B54" s="788" t="s">
        <v>896</v>
      </c>
      <c r="C54" s="789">
        <v>555</v>
      </c>
    </row>
    <row r="55" spans="2:17">
      <c r="B55" s="788" t="s">
        <v>897</v>
      </c>
      <c r="C55" s="789">
        <v>590</v>
      </c>
    </row>
    <row r="56" spans="2:17">
      <c r="B56" s="788" t="s">
        <v>898</v>
      </c>
      <c r="C56" s="789">
        <v>615</v>
      </c>
    </row>
    <row r="57" spans="2:17">
      <c r="B57" s="788" t="s">
        <v>899</v>
      </c>
      <c r="C57" s="789">
        <v>615</v>
      </c>
    </row>
    <row r="58" spans="2:17">
      <c r="B58" s="788" t="s">
        <v>900</v>
      </c>
      <c r="C58" s="789">
        <v>515</v>
      </c>
    </row>
    <row r="59" spans="2:17">
      <c r="B59" s="788" t="s">
        <v>901</v>
      </c>
      <c r="C59" s="789">
        <v>885</v>
      </c>
    </row>
    <row r="60" spans="2:17">
      <c r="B60" s="788" t="s">
        <v>902</v>
      </c>
      <c r="C60" s="789">
        <v>590</v>
      </c>
    </row>
    <row r="61" spans="2:17">
      <c r="B61" s="788" t="s">
        <v>377</v>
      </c>
      <c r="C61" s="789">
        <v>595</v>
      </c>
    </row>
    <row r="62" spans="2:17">
      <c r="C62" s="789"/>
    </row>
    <row r="63" spans="2:17">
      <c r="B63" s="794" t="s">
        <v>903</v>
      </c>
      <c r="C63" s="789">
        <v>550.70000000000005</v>
      </c>
      <c r="E63" s="788" t="s">
        <v>402</v>
      </c>
      <c r="F63" s="789"/>
    </row>
    <row r="64" spans="2:17">
      <c r="B64" s="794" t="s">
        <v>904</v>
      </c>
      <c r="C64" s="789">
        <v>271.7</v>
      </c>
      <c r="E64" s="788" t="s">
        <v>905</v>
      </c>
      <c r="F64" s="789">
        <v>73</v>
      </c>
    </row>
    <row r="65" spans="2:6">
      <c r="B65" s="794" t="s">
        <v>906</v>
      </c>
      <c r="C65" s="789">
        <v>221.7</v>
      </c>
      <c r="E65" s="788" t="s">
        <v>907</v>
      </c>
      <c r="F65" s="789">
        <v>98</v>
      </c>
    </row>
    <row r="66" spans="2:6">
      <c r="B66" s="794" t="s">
        <v>908</v>
      </c>
      <c r="C66" s="789">
        <v>195.6</v>
      </c>
    </row>
    <row r="67" spans="2:6">
      <c r="B67" s="794" t="s">
        <v>909</v>
      </c>
      <c r="C67" s="789">
        <v>2933.2</v>
      </c>
    </row>
    <row r="68" spans="2:6">
      <c r="B68" s="794" t="s">
        <v>910</v>
      </c>
      <c r="C68" s="789">
        <v>283.39999999999998</v>
      </c>
    </row>
    <row r="69" spans="2:6">
      <c r="B69" s="794" t="s">
        <v>911</v>
      </c>
      <c r="C69" s="789">
        <v>1333.2</v>
      </c>
    </row>
    <row r="70" spans="2:6">
      <c r="B70" s="794" t="s">
        <v>912</v>
      </c>
      <c r="C70" s="789">
        <v>258.3</v>
      </c>
    </row>
    <row r="71" spans="2:6">
      <c r="B71" s="794" t="s">
        <v>913</v>
      </c>
      <c r="C71" s="789">
        <v>424.5</v>
      </c>
    </row>
    <row r="72" spans="2:6">
      <c r="B72" s="794" t="s">
        <v>912</v>
      </c>
      <c r="C72" s="789">
        <v>403.7</v>
      </c>
    </row>
    <row r="73" spans="2:6">
      <c r="B73" s="794" t="s">
        <v>914</v>
      </c>
      <c r="C73" s="789">
        <v>464.8</v>
      </c>
    </row>
    <row r="74" spans="2:6">
      <c r="B74" s="794" t="s">
        <v>915</v>
      </c>
      <c r="C74" s="789">
        <v>1843.52</v>
      </c>
    </row>
    <row r="75" spans="2:6">
      <c r="B75" s="794" t="s">
        <v>912</v>
      </c>
      <c r="C75" s="789">
        <f>C68</f>
        <v>283.39999999999998</v>
      </c>
    </row>
    <row r="76" spans="2:6" ht="30">
      <c r="B76" s="794" t="s">
        <v>916</v>
      </c>
      <c r="C76" s="789">
        <v>1394.1</v>
      </c>
    </row>
    <row r="77" spans="2:6">
      <c r="B77" s="794" t="s">
        <v>912</v>
      </c>
      <c r="C77" s="789">
        <v>406.1</v>
      </c>
    </row>
    <row r="78" spans="2:6">
      <c r="B78" s="794" t="s">
        <v>917</v>
      </c>
      <c r="C78" s="789">
        <v>2072</v>
      </c>
    </row>
    <row r="79" spans="2:6">
      <c r="B79" s="794" t="s">
        <v>912</v>
      </c>
      <c r="C79" s="789">
        <v>161.5</v>
      </c>
    </row>
    <row r="80" spans="2:6">
      <c r="B80" s="794" t="s">
        <v>918</v>
      </c>
      <c r="C80" s="789">
        <v>1261.1199999999999</v>
      </c>
    </row>
    <row r="81" spans="2:3">
      <c r="B81" s="794" t="s">
        <v>912</v>
      </c>
      <c r="C81" s="789">
        <v>161.5</v>
      </c>
    </row>
    <row r="82" spans="2:3">
      <c r="B82" s="794" t="s">
        <v>919</v>
      </c>
      <c r="C82" s="789">
        <v>1478.4</v>
      </c>
    </row>
    <row r="83" spans="2:3">
      <c r="B83" s="794" t="s">
        <v>912</v>
      </c>
      <c r="C83" s="789">
        <v>161.5</v>
      </c>
    </row>
    <row r="84" spans="2:3">
      <c r="B84" s="794" t="s">
        <v>920</v>
      </c>
      <c r="C84" s="789">
        <v>698.88</v>
      </c>
    </row>
    <row r="85" spans="2:3">
      <c r="B85" s="794" t="s">
        <v>912</v>
      </c>
      <c r="C85" s="789">
        <v>211.6</v>
      </c>
    </row>
    <row r="86" spans="2:3" ht="30">
      <c r="B86" s="794" t="s">
        <v>921</v>
      </c>
      <c r="C86" s="789">
        <v>8</v>
      </c>
    </row>
    <row r="87" spans="2:3">
      <c r="B87" s="794" t="s">
        <v>922</v>
      </c>
      <c r="C87" s="789">
        <v>1843.52</v>
      </c>
    </row>
    <row r="88" spans="2:3">
      <c r="B88" s="794" t="s">
        <v>912</v>
      </c>
      <c r="C88" s="789">
        <v>324.5</v>
      </c>
    </row>
    <row r="89" spans="2:3" ht="30">
      <c r="B89" s="794" t="s">
        <v>923</v>
      </c>
      <c r="C89" s="789">
        <v>2518.88</v>
      </c>
    </row>
    <row r="90" spans="2:3">
      <c r="B90" s="794" t="s">
        <v>912</v>
      </c>
      <c r="C90" s="789">
        <f>C88</f>
        <v>324.5</v>
      </c>
    </row>
    <row r="91" spans="2:3">
      <c r="B91" s="794" t="s">
        <v>924</v>
      </c>
      <c r="C91" s="789">
        <v>2861.8</v>
      </c>
    </row>
    <row r="92" spans="2:3">
      <c r="B92" s="794" t="s">
        <v>912</v>
      </c>
      <c r="C92" s="789">
        <v>324.5</v>
      </c>
    </row>
    <row r="93" spans="2:3">
      <c r="B93" s="794" t="s">
        <v>1019</v>
      </c>
      <c r="C93" s="789">
        <v>1843.52</v>
      </c>
    </row>
    <row r="94" spans="2:3">
      <c r="B94" s="794" t="s">
        <v>912</v>
      </c>
      <c r="C94" s="789">
        <f>C92</f>
        <v>324.5</v>
      </c>
    </row>
    <row r="95" spans="2:3">
      <c r="B95" s="794" t="s">
        <v>925</v>
      </c>
      <c r="C95" s="789">
        <v>1758.4</v>
      </c>
    </row>
    <row r="96" spans="2:3">
      <c r="B96" s="794" t="s">
        <v>1020</v>
      </c>
      <c r="C96" s="789">
        <v>2663.7</v>
      </c>
    </row>
    <row r="97" spans="2:3">
      <c r="B97" s="794" t="s">
        <v>1021</v>
      </c>
      <c r="C97" s="789">
        <v>283.39999999999998</v>
      </c>
    </row>
    <row r="98" spans="2:3">
      <c r="B98" s="794" t="s">
        <v>926</v>
      </c>
      <c r="C98" s="789">
        <v>3601.92</v>
      </c>
    </row>
    <row r="99" spans="2:3">
      <c r="B99" s="794" t="s">
        <v>908</v>
      </c>
      <c r="C99" s="789">
        <f>C68</f>
        <v>283.39999999999998</v>
      </c>
    </row>
    <row r="100" spans="2:3">
      <c r="B100" s="794" t="s">
        <v>927</v>
      </c>
      <c r="C100" s="789">
        <v>464.8</v>
      </c>
    </row>
    <row r="101" spans="2:3" ht="30">
      <c r="B101" s="794" t="s">
        <v>928</v>
      </c>
      <c r="C101" s="789">
        <v>568.23</v>
      </c>
    </row>
    <row r="102" spans="2:3">
      <c r="B102" s="794" t="s">
        <v>929</v>
      </c>
      <c r="C102" s="789">
        <v>1035.7</v>
      </c>
    </row>
    <row r="103" spans="2:3">
      <c r="B103" s="794" t="s">
        <v>912</v>
      </c>
      <c r="C103" s="789">
        <v>211.6</v>
      </c>
    </row>
    <row r="104" spans="2:3">
      <c r="B104" s="794" t="s">
        <v>930</v>
      </c>
      <c r="C104" s="789">
        <v>399.84</v>
      </c>
    </row>
    <row r="105" spans="2:3">
      <c r="B105" s="794" t="s">
        <v>912</v>
      </c>
      <c r="C105" s="789">
        <f>C70</f>
        <v>258.3</v>
      </c>
    </row>
    <row r="106" spans="2:3" ht="30">
      <c r="B106" s="794" t="s">
        <v>931</v>
      </c>
      <c r="C106" s="789">
        <v>963.2</v>
      </c>
    </row>
    <row r="107" spans="2:3">
      <c r="B107" s="794" t="s">
        <v>912</v>
      </c>
      <c r="C107" s="789">
        <f>C70</f>
        <v>258.3</v>
      </c>
    </row>
    <row r="108" spans="2:3">
      <c r="B108" s="794" t="s">
        <v>1022</v>
      </c>
      <c r="C108" s="789">
        <v>27071.52</v>
      </c>
    </row>
    <row r="109" spans="2:3">
      <c r="B109" s="794" t="s">
        <v>912</v>
      </c>
      <c r="C109" s="789">
        <v>406.1</v>
      </c>
    </row>
    <row r="110" spans="2:3" ht="30">
      <c r="B110" s="794" t="s">
        <v>933</v>
      </c>
      <c r="C110" s="789">
        <v>3426.65</v>
      </c>
    </row>
    <row r="111" spans="2:3">
      <c r="B111" s="794" t="s">
        <v>912</v>
      </c>
      <c r="C111" s="789">
        <f>C92</f>
        <v>324.5</v>
      </c>
    </row>
    <row r="112" spans="2:3">
      <c r="B112" s="794" t="s">
        <v>934</v>
      </c>
      <c r="C112" s="789">
        <v>1314.6</v>
      </c>
    </row>
    <row r="113" spans="2:3">
      <c r="B113" s="794" t="s">
        <v>912</v>
      </c>
      <c r="C113" s="789">
        <v>272.10000000000002</v>
      </c>
    </row>
    <row r="114" spans="2:3">
      <c r="B114" s="794" t="s">
        <v>1023</v>
      </c>
      <c r="C114" s="789">
        <v>1379.4</v>
      </c>
    </row>
    <row r="115" spans="2:3">
      <c r="B115" s="794" t="s">
        <v>912</v>
      </c>
      <c r="C115" s="789">
        <v>406.1</v>
      </c>
    </row>
    <row r="116" spans="2:3">
      <c r="B116" s="794" t="s">
        <v>936</v>
      </c>
      <c r="C116" s="789">
        <v>2143.8000000000002</v>
      </c>
    </row>
    <row r="117" spans="2:3">
      <c r="B117" s="794" t="s">
        <v>912</v>
      </c>
      <c r="C117" s="789">
        <v>338.5</v>
      </c>
    </row>
    <row r="118" spans="2:3">
      <c r="B118" s="794" t="s">
        <v>937</v>
      </c>
      <c r="C118" s="789">
        <v>899.36</v>
      </c>
    </row>
    <row r="119" spans="2:3">
      <c r="B119" s="794" t="s">
        <v>938</v>
      </c>
      <c r="C119" s="789">
        <v>348.32</v>
      </c>
    </row>
    <row r="120" spans="2:3">
      <c r="B120" s="794" t="s">
        <v>939</v>
      </c>
      <c r="C120" s="789">
        <v>124.32</v>
      </c>
    </row>
    <row r="121" spans="2:3">
      <c r="B121" s="794" t="s">
        <v>1024</v>
      </c>
      <c r="C121" s="789">
        <v>472.64</v>
      </c>
    </row>
    <row r="123" spans="2:3">
      <c r="B123" s="794" t="s">
        <v>1025</v>
      </c>
      <c r="C123" s="789">
        <v>974.2</v>
      </c>
    </row>
    <row r="124" spans="2:3">
      <c r="B124" s="794" t="s">
        <v>1026</v>
      </c>
      <c r="C124" s="789">
        <v>161.5</v>
      </c>
    </row>
    <row r="125" spans="2:3">
      <c r="B125" s="794" t="s">
        <v>1027</v>
      </c>
      <c r="C125" s="789">
        <v>1378.7</v>
      </c>
    </row>
    <row r="126" spans="2:3">
      <c r="B126" s="794" t="s">
        <v>1026</v>
      </c>
      <c r="C126" s="789">
        <v>161.5</v>
      </c>
    </row>
  </sheetData>
  <mergeCells count="3">
    <mergeCell ref="A1:N1"/>
    <mergeCell ref="A2:F2"/>
    <mergeCell ref="I8:J8"/>
  </mergeCells>
  <printOptions horizontalCentered="1"/>
  <pageMargins left="0.70866141732283472" right="0.70866141732283472" top="0.74803149606299213" bottom="0.74803149606299213" header="0.31496062992125984" footer="0.31496062992125984"/>
  <pageSetup paperSize="5" scale="85" orientation="landscape" r:id="rId1"/>
  <legacyDrawing r:id="rId2"/>
</worksheet>
</file>

<file path=xl/worksheets/sheet38.xml><?xml version="1.0" encoding="utf-8"?>
<worksheet xmlns="http://schemas.openxmlformats.org/spreadsheetml/2006/main" xmlns:r="http://schemas.openxmlformats.org/officeDocument/2006/relationships">
  <dimension ref="A1:T62"/>
  <sheetViews>
    <sheetView view="pageBreakPreview" topLeftCell="A31" zoomScaleNormal="85" zoomScaleSheetLayoutView="100" workbookViewId="0">
      <selection activeCell="U67" sqref="U67"/>
    </sheetView>
  </sheetViews>
  <sheetFormatPr defaultRowHeight="12.75"/>
  <cols>
    <col min="1" max="1" width="5.28515625" style="570" customWidth="1"/>
    <col min="2" max="2" width="10.85546875" style="570" customWidth="1"/>
    <col min="3" max="3" width="18.85546875" style="570" customWidth="1"/>
    <col min="4" max="4" width="15.85546875" style="570" customWidth="1"/>
    <col min="5" max="5" width="11.28515625" style="570" bestFit="1" customWidth="1"/>
    <col min="6" max="6" width="12.28515625" style="570" bestFit="1" customWidth="1"/>
    <col min="7" max="7" width="11.7109375" style="570" customWidth="1"/>
    <col min="8" max="8" width="11.5703125" style="570" customWidth="1"/>
    <col min="9" max="9" width="12.140625" style="570" customWidth="1"/>
    <col min="10" max="11" width="9.140625" style="570"/>
    <col min="12" max="12" width="4.42578125" style="570" customWidth="1"/>
    <col min="13" max="13" width="14.140625" style="570" customWidth="1"/>
    <col min="14" max="256" width="9.140625" style="570"/>
    <col min="257" max="257" width="5.28515625" style="570" customWidth="1"/>
    <col min="258" max="258" width="10.85546875" style="570" customWidth="1"/>
    <col min="259" max="259" width="13.42578125" style="570" customWidth="1"/>
    <col min="260" max="260" width="15.85546875" style="570" customWidth="1"/>
    <col min="261" max="261" width="9.7109375" style="570" bestFit="1" customWidth="1"/>
    <col min="262" max="263" width="11.7109375" style="570" customWidth="1"/>
    <col min="264" max="264" width="11.5703125" style="570" customWidth="1"/>
    <col min="265" max="265" width="12.140625" style="570" customWidth="1"/>
    <col min="266" max="267" width="9.140625" style="570"/>
    <col min="268" max="268" width="4.42578125" style="570" customWidth="1"/>
    <col min="269" max="269" width="14.140625" style="570" customWidth="1"/>
    <col min="270" max="512" width="9.140625" style="570"/>
    <col min="513" max="513" width="5.28515625" style="570" customWidth="1"/>
    <col min="514" max="514" width="10.85546875" style="570" customWidth="1"/>
    <col min="515" max="515" width="13.42578125" style="570" customWidth="1"/>
    <col min="516" max="516" width="15.85546875" style="570" customWidth="1"/>
    <col min="517" max="517" width="9.7109375" style="570" bestFit="1" customWidth="1"/>
    <col min="518" max="519" width="11.7109375" style="570" customWidth="1"/>
    <col min="520" max="520" width="11.5703125" style="570" customWidth="1"/>
    <col min="521" max="521" width="12.140625" style="570" customWidth="1"/>
    <col min="522" max="523" width="9.140625" style="570"/>
    <col min="524" max="524" width="4.42578125" style="570" customWidth="1"/>
    <col min="525" max="525" width="14.140625" style="570" customWidth="1"/>
    <col min="526" max="768" width="9.140625" style="570"/>
    <col min="769" max="769" width="5.28515625" style="570" customWidth="1"/>
    <col min="770" max="770" width="10.85546875" style="570" customWidth="1"/>
    <col min="771" max="771" width="13.42578125" style="570" customWidth="1"/>
    <col min="772" max="772" width="15.85546875" style="570" customWidth="1"/>
    <col min="773" max="773" width="9.7109375" style="570" bestFit="1" customWidth="1"/>
    <col min="774" max="775" width="11.7109375" style="570" customWidth="1"/>
    <col min="776" max="776" width="11.5703125" style="570" customWidth="1"/>
    <col min="777" max="777" width="12.140625" style="570" customWidth="1"/>
    <col min="778" max="779" width="9.140625" style="570"/>
    <col min="780" max="780" width="4.42578125" style="570" customWidth="1"/>
    <col min="781" max="781" width="14.140625" style="570" customWidth="1"/>
    <col min="782" max="1024" width="9.140625" style="570"/>
    <col min="1025" max="1025" width="5.28515625" style="570" customWidth="1"/>
    <col min="1026" max="1026" width="10.85546875" style="570" customWidth="1"/>
    <col min="1027" max="1027" width="13.42578125" style="570" customWidth="1"/>
    <col min="1028" max="1028" width="15.85546875" style="570" customWidth="1"/>
    <col min="1029" max="1029" width="9.7109375" style="570" bestFit="1" customWidth="1"/>
    <col min="1030" max="1031" width="11.7109375" style="570" customWidth="1"/>
    <col min="1032" max="1032" width="11.5703125" style="570" customWidth="1"/>
    <col min="1033" max="1033" width="12.140625" style="570" customWidth="1"/>
    <col min="1034" max="1035" width="9.140625" style="570"/>
    <col min="1036" max="1036" width="4.42578125" style="570" customWidth="1"/>
    <col min="1037" max="1037" width="14.140625" style="570" customWidth="1"/>
    <col min="1038" max="1280" width="9.140625" style="570"/>
    <col min="1281" max="1281" width="5.28515625" style="570" customWidth="1"/>
    <col min="1282" max="1282" width="10.85546875" style="570" customWidth="1"/>
    <col min="1283" max="1283" width="13.42578125" style="570" customWidth="1"/>
    <col min="1284" max="1284" width="15.85546875" style="570" customWidth="1"/>
    <col min="1285" max="1285" width="9.7109375" style="570" bestFit="1" customWidth="1"/>
    <col min="1286" max="1287" width="11.7109375" style="570" customWidth="1"/>
    <col min="1288" max="1288" width="11.5703125" style="570" customWidth="1"/>
    <col min="1289" max="1289" width="12.140625" style="570" customWidth="1"/>
    <col min="1290" max="1291" width="9.140625" style="570"/>
    <col min="1292" max="1292" width="4.42578125" style="570" customWidth="1"/>
    <col min="1293" max="1293" width="14.140625" style="570" customWidth="1"/>
    <col min="1294" max="1536" width="9.140625" style="570"/>
    <col min="1537" max="1537" width="5.28515625" style="570" customWidth="1"/>
    <col min="1538" max="1538" width="10.85546875" style="570" customWidth="1"/>
    <col min="1539" max="1539" width="13.42578125" style="570" customWidth="1"/>
    <col min="1540" max="1540" width="15.85546875" style="570" customWidth="1"/>
    <col min="1541" max="1541" width="9.7109375" style="570" bestFit="1" customWidth="1"/>
    <col min="1542" max="1543" width="11.7109375" style="570" customWidth="1"/>
    <col min="1544" max="1544" width="11.5703125" style="570" customWidth="1"/>
    <col min="1545" max="1545" width="12.140625" style="570" customWidth="1"/>
    <col min="1546" max="1547" width="9.140625" style="570"/>
    <col min="1548" max="1548" width="4.42578125" style="570" customWidth="1"/>
    <col min="1549" max="1549" width="14.140625" style="570" customWidth="1"/>
    <col min="1550" max="1792" width="9.140625" style="570"/>
    <col min="1793" max="1793" width="5.28515625" style="570" customWidth="1"/>
    <col min="1794" max="1794" width="10.85546875" style="570" customWidth="1"/>
    <col min="1795" max="1795" width="13.42578125" style="570" customWidth="1"/>
    <col min="1796" max="1796" width="15.85546875" style="570" customWidth="1"/>
    <col min="1797" max="1797" width="9.7109375" style="570" bestFit="1" customWidth="1"/>
    <col min="1798" max="1799" width="11.7109375" style="570" customWidth="1"/>
    <col min="1800" max="1800" width="11.5703125" style="570" customWidth="1"/>
    <col min="1801" max="1801" width="12.140625" style="570" customWidth="1"/>
    <col min="1802" max="1803" width="9.140625" style="570"/>
    <col min="1804" max="1804" width="4.42578125" style="570" customWidth="1"/>
    <col min="1805" max="1805" width="14.140625" style="570" customWidth="1"/>
    <col min="1806" max="2048" width="9.140625" style="570"/>
    <col min="2049" max="2049" width="5.28515625" style="570" customWidth="1"/>
    <col min="2050" max="2050" width="10.85546875" style="570" customWidth="1"/>
    <col min="2051" max="2051" width="13.42578125" style="570" customWidth="1"/>
    <col min="2052" max="2052" width="15.85546875" style="570" customWidth="1"/>
    <col min="2053" max="2053" width="9.7109375" style="570" bestFit="1" customWidth="1"/>
    <col min="2054" max="2055" width="11.7109375" style="570" customWidth="1"/>
    <col min="2056" max="2056" width="11.5703125" style="570" customWidth="1"/>
    <col min="2057" max="2057" width="12.140625" style="570" customWidth="1"/>
    <col min="2058" max="2059" width="9.140625" style="570"/>
    <col min="2060" max="2060" width="4.42578125" style="570" customWidth="1"/>
    <col min="2061" max="2061" width="14.140625" style="570" customWidth="1"/>
    <col min="2062" max="2304" width="9.140625" style="570"/>
    <col min="2305" max="2305" width="5.28515625" style="570" customWidth="1"/>
    <col min="2306" max="2306" width="10.85546875" style="570" customWidth="1"/>
    <col min="2307" max="2307" width="13.42578125" style="570" customWidth="1"/>
    <col min="2308" max="2308" width="15.85546875" style="570" customWidth="1"/>
    <col min="2309" max="2309" width="9.7109375" style="570" bestFit="1" customWidth="1"/>
    <col min="2310" max="2311" width="11.7109375" style="570" customWidth="1"/>
    <col min="2312" max="2312" width="11.5703125" style="570" customWidth="1"/>
    <col min="2313" max="2313" width="12.140625" style="570" customWidth="1"/>
    <col min="2314" max="2315" width="9.140625" style="570"/>
    <col min="2316" max="2316" width="4.42578125" style="570" customWidth="1"/>
    <col min="2317" max="2317" width="14.140625" style="570" customWidth="1"/>
    <col min="2318" max="2560" width="9.140625" style="570"/>
    <col min="2561" max="2561" width="5.28515625" style="570" customWidth="1"/>
    <col min="2562" max="2562" width="10.85546875" style="570" customWidth="1"/>
    <col min="2563" max="2563" width="13.42578125" style="570" customWidth="1"/>
    <col min="2564" max="2564" width="15.85546875" style="570" customWidth="1"/>
    <col min="2565" max="2565" width="9.7109375" style="570" bestFit="1" customWidth="1"/>
    <col min="2566" max="2567" width="11.7109375" style="570" customWidth="1"/>
    <col min="2568" max="2568" width="11.5703125" style="570" customWidth="1"/>
    <col min="2569" max="2569" width="12.140625" style="570" customWidth="1"/>
    <col min="2570" max="2571" width="9.140625" style="570"/>
    <col min="2572" max="2572" width="4.42578125" style="570" customWidth="1"/>
    <col min="2573" max="2573" width="14.140625" style="570" customWidth="1"/>
    <col min="2574" max="2816" width="9.140625" style="570"/>
    <col min="2817" max="2817" width="5.28515625" style="570" customWidth="1"/>
    <col min="2818" max="2818" width="10.85546875" style="570" customWidth="1"/>
    <col min="2819" max="2819" width="13.42578125" style="570" customWidth="1"/>
    <col min="2820" max="2820" width="15.85546875" style="570" customWidth="1"/>
    <col min="2821" max="2821" width="9.7109375" style="570" bestFit="1" customWidth="1"/>
    <col min="2822" max="2823" width="11.7109375" style="570" customWidth="1"/>
    <col min="2824" max="2824" width="11.5703125" style="570" customWidth="1"/>
    <col min="2825" max="2825" width="12.140625" style="570" customWidth="1"/>
    <col min="2826" max="2827" width="9.140625" style="570"/>
    <col min="2828" max="2828" width="4.42578125" style="570" customWidth="1"/>
    <col min="2829" max="2829" width="14.140625" style="570" customWidth="1"/>
    <col min="2830" max="3072" width="9.140625" style="570"/>
    <col min="3073" max="3073" width="5.28515625" style="570" customWidth="1"/>
    <col min="3074" max="3074" width="10.85546875" style="570" customWidth="1"/>
    <col min="3075" max="3075" width="13.42578125" style="570" customWidth="1"/>
    <col min="3076" max="3076" width="15.85546875" style="570" customWidth="1"/>
    <col min="3077" max="3077" width="9.7109375" style="570" bestFit="1" customWidth="1"/>
    <col min="3078" max="3079" width="11.7109375" style="570" customWidth="1"/>
    <col min="3080" max="3080" width="11.5703125" style="570" customWidth="1"/>
    <col min="3081" max="3081" width="12.140625" style="570" customWidth="1"/>
    <col min="3082" max="3083" width="9.140625" style="570"/>
    <col min="3084" max="3084" width="4.42578125" style="570" customWidth="1"/>
    <col min="3085" max="3085" width="14.140625" style="570" customWidth="1"/>
    <col min="3086" max="3328" width="9.140625" style="570"/>
    <col min="3329" max="3329" width="5.28515625" style="570" customWidth="1"/>
    <col min="3330" max="3330" width="10.85546875" style="570" customWidth="1"/>
    <col min="3331" max="3331" width="13.42578125" style="570" customWidth="1"/>
    <col min="3332" max="3332" width="15.85546875" style="570" customWidth="1"/>
    <col min="3333" max="3333" width="9.7109375" style="570" bestFit="1" customWidth="1"/>
    <col min="3334" max="3335" width="11.7109375" style="570" customWidth="1"/>
    <col min="3336" max="3336" width="11.5703125" style="570" customWidth="1"/>
    <col min="3337" max="3337" width="12.140625" style="570" customWidth="1"/>
    <col min="3338" max="3339" width="9.140625" style="570"/>
    <col min="3340" max="3340" width="4.42578125" style="570" customWidth="1"/>
    <col min="3341" max="3341" width="14.140625" style="570" customWidth="1"/>
    <col min="3342" max="3584" width="9.140625" style="570"/>
    <col min="3585" max="3585" width="5.28515625" style="570" customWidth="1"/>
    <col min="3586" max="3586" width="10.85546875" style="570" customWidth="1"/>
    <col min="3587" max="3587" width="13.42578125" style="570" customWidth="1"/>
    <col min="3588" max="3588" width="15.85546875" style="570" customWidth="1"/>
    <col min="3589" max="3589" width="9.7109375" style="570" bestFit="1" customWidth="1"/>
    <col min="3590" max="3591" width="11.7109375" style="570" customWidth="1"/>
    <col min="3592" max="3592" width="11.5703125" style="570" customWidth="1"/>
    <col min="3593" max="3593" width="12.140625" style="570" customWidth="1"/>
    <col min="3594" max="3595" width="9.140625" style="570"/>
    <col min="3596" max="3596" width="4.42578125" style="570" customWidth="1"/>
    <col min="3597" max="3597" width="14.140625" style="570" customWidth="1"/>
    <col min="3598" max="3840" width="9.140625" style="570"/>
    <col min="3841" max="3841" width="5.28515625" style="570" customWidth="1"/>
    <col min="3842" max="3842" width="10.85546875" style="570" customWidth="1"/>
    <col min="3843" max="3843" width="13.42578125" style="570" customWidth="1"/>
    <col min="3844" max="3844" width="15.85546875" style="570" customWidth="1"/>
    <col min="3845" max="3845" width="9.7109375" style="570" bestFit="1" customWidth="1"/>
    <col min="3846" max="3847" width="11.7109375" style="570" customWidth="1"/>
    <col min="3848" max="3848" width="11.5703125" style="570" customWidth="1"/>
    <col min="3849" max="3849" width="12.140625" style="570" customWidth="1"/>
    <col min="3850" max="3851" width="9.140625" style="570"/>
    <col min="3852" max="3852" width="4.42578125" style="570" customWidth="1"/>
    <col min="3853" max="3853" width="14.140625" style="570" customWidth="1"/>
    <col min="3854" max="4096" width="9.140625" style="570"/>
    <col min="4097" max="4097" width="5.28515625" style="570" customWidth="1"/>
    <col min="4098" max="4098" width="10.85546875" style="570" customWidth="1"/>
    <col min="4099" max="4099" width="13.42578125" style="570" customWidth="1"/>
    <col min="4100" max="4100" width="15.85546875" style="570" customWidth="1"/>
    <col min="4101" max="4101" width="9.7109375" style="570" bestFit="1" customWidth="1"/>
    <col min="4102" max="4103" width="11.7109375" style="570" customWidth="1"/>
    <col min="4104" max="4104" width="11.5703125" style="570" customWidth="1"/>
    <col min="4105" max="4105" width="12.140625" style="570" customWidth="1"/>
    <col min="4106" max="4107" width="9.140625" style="570"/>
    <col min="4108" max="4108" width="4.42578125" style="570" customWidth="1"/>
    <col min="4109" max="4109" width="14.140625" style="570" customWidth="1"/>
    <col min="4110" max="4352" width="9.140625" style="570"/>
    <col min="4353" max="4353" width="5.28515625" style="570" customWidth="1"/>
    <col min="4354" max="4354" width="10.85546875" style="570" customWidth="1"/>
    <col min="4355" max="4355" width="13.42578125" style="570" customWidth="1"/>
    <col min="4356" max="4356" width="15.85546875" style="570" customWidth="1"/>
    <col min="4357" max="4357" width="9.7109375" style="570" bestFit="1" customWidth="1"/>
    <col min="4358" max="4359" width="11.7109375" style="570" customWidth="1"/>
    <col min="4360" max="4360" width="11.5703125" style="570" customWidth="1"/>
    <col min="4361" max="4361" width="12.140625" style="570" customWidth="1"/>
    <col min="4362" max="4363" width="9.140625" style="570"/>
    <col min="4364" max="4364" width="4.42578125" style="570" customWidth="1"/>
    <col min="4365" max="4365" width="14.140625" style="570" customWidth="1"/>
    <col min="4366" max="4608" width="9.140625" style="570"/>
    <col min="4609" max="4609" width="5.28515625" style="570" customWidth="1"/>
    <col min="4610" max="4610" width="10.85546875" style="570" customWidth="1"/>
    <col min="4611" max="4611" width="13.42578125" style="570" customWidth="1"/>
    <col min="4612" max="4612" width="15.85546875" style="570" customWidth="1"/>
    <col min="4613" max="4613" width="9.7109375" style="570" bestFit="1" customWidth="1"/>
    <col min="4614" max="4615" width="11.7109375" style="570" customWidth="1"/>
    <col min="4616" max="4616" width="11.5703125" style="570" customWidth="1"/>
    <col min="4617" max="4617" width="12.140625" style="570" customWidth="1"/>
    <col min="4618" max="4619" width="9.140625" style="570"/>
    <col min="4620" max="4620" width="4.42578125" style="570" customWidth="1"/>
    <col min="4621" max="4621" width="14.140625" style="570" customWidth="1"/>
    <col min="4622" max="4864" width="9.140625" style="570"/>
    <col min="4865" max="4865" width="5.28515625" style="570" customWidth="1"/>
    <col min="4866" max="4866" width="10.85546875" style="570" customWidth="1"/>
    <col min="4867" max="4867" width="13.42578125" style="570" customWidth="1"/>
    <col min="4868" max="4868" width="15.85546875" style="570" customWidth="1"/>
    <col min="4869" max="4869" width="9.7109375" style="570" bestFit="1" customWidth="1"/>
    <col min="4870" max="4871" width="11.7109375" style="570" customWidth="1"/>
    <col min="4872" max="4872" width="11.5703125" style="570" customWidth="1"/>
    <col min="4873" max="4873" width="12.140625" style="570" customWidth="1"/>
    <col min="4874" max="4875" width="9.140625" style="570"/>
    <col min="4876" max="4876" width="4.42578125" style="570" customWidth="1"/>
    <col min="4877" max="4877" width="14.140625" style="570" customWidth="1"/>
    <col min="4878" max="5120" width="9.140625" style="570"/>
    <col min="5121" max="5121" width="5.28515625" style="570" customWidth="1"/>
    <col min="5122" max="5122" width="10.85546875" style="570" customWidth="1"/>
    <col min="5123" max="5123" width="13.42578125" style="570" customWidth="1"/>
    <col min="5124" max="5124" width="15.85546875" style="570" customWidth="1"/>
    <col min="5125" max="5125" width="9.7109375" style="570" bestFit="1" customWidth="1"/>
    <col min="5126" max="5127" width="11.7109375" style="570" customWidth="1"/>
    <col min="5128" max="5128" width="11.5703125" style="570" customWidth="1"/>
    <col min="5129" max="5129" width="12.140625" style="570" customWidth="1"/>
    <col min="5130" max="5131" width="9.140625" style="570"/>
    <col min="5132" max="5132" width="4.42578125" style="570" customWidth="1"/>
    <col min="5133" max="5133" width="14.140625" style="570" customWidth="1"/>
    <col min="5134" max="5376" width="9.140625" style="570"/>
    <col min="5377" max="5377" width="5.28515625" style="570" customWidth="1"/>
    <col min="5378" max="5378" width="10.85546875" style="570" customWidth="1"/>
    <col min="5379" max="5379" width="13.42578125" style="570" customWidth="1"/>
    <col min="5380" max="5380" width="15.85546875" style="570" customWidth="1"/>
    <col min="5381" max="5381" width="9.7109375" style="570" bestFit="1" customWidth="1"/>
    <col min="5382" max="5383" width="11.7109375" style="570" customWidth="1"/>
    <col min="5384" max="5384" width="11.5703125" style="570" customWidth="1"/>
    <col min="5385" max="5385" width="12.140625" style="570" customWidth="1"/>
    <col min="5386" max="5387" width="9.140625" style="570"/>
    <col min="5388" max="5388" width="4.42578125" style="570" customWidth="1"/>
    <col min="5389" max="5389" width="14.140625" style="570" customWidth="1"/>
    <col min="5390" max="5632" width="9.140625" style="570"/>
    <col min="5633" max="5633" width="5.28515625" style="570" customWidth="1"/>
    <col min="5634" max="5634" width="10.85546875" style="570" customWidth="1"/>
    <col min="5635" max="5635" width="13.42578125" style="570" customWidth="1"/>
    <col min="5636" max="5636" width="15.85546875" style="570" customWidth="1"/>
    <col min="5637" max="5637" width="9.7109375" style="570" bestFit="1" customWidth="1"/>
    <col min="5638" max="5639" width="11.7109375" style="570" customWidth="1"/>
    <col min="5640" max="5640" width="11.5703125" style="570" customWidth="1"/>
    <col min="5641" max="5641" width="12.140625" style="570" customWidth="1"/>
    <col min="5642" max="5643" width="9.140625" style="570"/>
    <col min="5644" max="5644" width="4.42578125" style="570" customWidth="1"/>
    <col min="5645" max="5645" width="14.140625" style="570" customWidth="1"/>
    <col min="5646" max="5888" width="9.140625" style="570"/>
    <col min="5889" max="5889" width="5.28515625" style="570" customWidth="1"/>
    <col min="5890" max="5890" width="10.85546875" style="570" customWidth="1"/>
    <col min="5891" max="5891" width="13.42578125" style="570" customWidth="1"/>
    <col min="5892" max="5892" width="15.85546875" style="570" customWidth="1"/>
    <col min="5893" max="5893" width="9.7109375" style="570" bestFit="1" customWidth="1"/>
    <col min="5894" max="5895" width="11.7109375" style="570" customWidth="1"/>
    <col min="5896" max="5896" width="11.5703125" style="570" customWidth="1"/>
    <col min="5897" max="5897" width="12.140625" style="570" customWidth="1"/>
    <col min="5898" max="5899" width="9.140625" style="570"/>
    <col min="5900" max="5900" width="4.42578125" style="570" customWidth="1"/>
    <col min="5901" max="5901" width="14.140625" style="570" customWidth="1"/>
    <col min="5902" max="6144" width="9.140625" style="570"/>
    <col min="6145" max="6145" width="5.28515625" style="570" customWidth="1"/>
    <col min="6146" max="6146" width="10.85546875" style="570" customWidth="1"/>
    <col min="6147" max="6147" width="13.42578125" style="570" customWidth="1"/>
    <col min="6148" max="6148" width="15.85546875" style="570" customWidth="1"/>
    <col min="6149" max="6149" width="9.7109375" style="570" bestFit="1" customWidth="1"/>
    <col min="6150" max="6151" width="11.7109375" style="570" customWidth="1"/>
    <col min="6152" max="6152" width="11.5703125" style="570" customWidth="1"/>
    <col min="6153" max="6153" width="12.140625" style="570" customWidth="1"/>
    <col min="6154" max="6155" width="9.140625" style="570"/>
    <col min="6156" max="6156" width="4.42578125" style="570" customWidth="1"/>
    <col min="6157" max="6157" width="14.140625" style="570" customWidth="1"/>
    <col min="6158" max="6400" width="9.140625" style="570"/>
    <col min="6401" max="6401" width="5.28515625" style="570" customWidth="1"/>
    <col min="6402" max="6402" width="10.85546875" style="570" customWidth="1"/>
    <col min="6403" max="6403" width="13.42578125" style="570" customWidth="1"/>
    <col min="6404" max="6404" width="15.85546875" style="570" customWidth="1"/>
    <col min="6405" max="6405" width="9.7109375" style="570" bestFit="1" customWidth="1"/>
    <col min="6406" max="6407" width="11.7109375" style="570" customWidth="1"/>
    <col min="6408" max="6408" width="11.5703125" style="570" customWidth="1"/>
    <col min="6409" max="6409" width="12.140625" style="570" customWidth="1"/>
    <col min="6410" max="6411" width="9.140625" style="570"/>
    <col min="6412" max="6412" width="4.42578125" style="570" customWidth="1"/>
    <col min="6413" max="6413" width="14.140625" style="570" customWidth="1"/>
    <col min="6414" max="6656" width="9.140625" style="570"/>
    <col min="6657" max="6657" width="5.28515625" style="570" customWidth="1"/>
    <col min="6658" max="6658" width="10.85546875" style="570" customWidth="1"/>
    <col min="6659" max="6659" width="13.42578125" style="570" customWidth="1"/>
    <col min="6660" max="6660" width="15.85546875" style="570" customWidth="1"/>
    <col min="6661" max="6661" width="9.7109375" style="570" bestFit="1" customWidth="1"/>
    <col min="6662" max="6663" width="11.7109375" style="570" customWidth="1"/>
    <col min="6664" max="6664" width="11.5703125" style="570" customWidth="1"/>
    <col min="6665" max="6665" width="12.140625" style="570" customWidth="1"/>
    <col min="6666" max="6667" width="9.140625" style="570"/>
    <col min="6668" max="6668" width="4.42578125" style="570" customWidth="1"/>
    <col min="6669" max="6669" width="14.140625" style="570" customWidth="1"/>
    <col min="6670" max="6912" width="9.140625" style="570"/>
    <col min="6913" max="6913" width="5.28515625" style="570" customWidth="1"/>
    <col min="6914" max="6914" width="10.85546875" style="570" customWidth="1"/>
    <col min="6915" max="6915" width="13.42578125" style="570" customWidth="1"/>
    <col min="6916" max="6916" width="15.85546875" style="570" customWidth="1"/>
    <col min="6917" max="6917" width="9.7109375" style="570" bestFit="1" customWidth="1"/>
    <col min="6918" max="6919" width="11.7109375" style="570" customWidth="1"/>
    <col min="6920" max="6920" width="11.5703125" style="570" customWidth="1"/>
    <col min="6921" max="6921" width="12.140625" style="570" customWidth="1"/>
    <col min="6922" max="6923" width="9.140625" style="570"/>
    <col min="6924" max="6924" width="4.42578125" style="570" customWidth="1"/>
    <col min="6925" max="6925" width="14.140625" style="570" customWidth="1"/>
    <col min="6926" max="7168" width="9.140625" style="570"/>
    <col min="7169" max="7169" width="5.28515625" style="570" customWidth="1"/>
    <col min="7170" max="7170" width="10.85546875" style="570" customWidth="1"/>
    <col min="7171" max="7171" width="13.42578125" style="570" customWidth="1"/>
    <col min="7172" max="7172" width="15.85546875" style="570" customWidth="1"/>
    <col min="7173" max="7173" width="9.7109375" style="570" bestFit="1" customWidth="1"/>
    <col min="7174" max="7175" width="11.7109375" style="570" customWidth="1"/>
    <col min="7176" max="7176" width="11.5703125" style="570" customWidth="1"/>
    <col min="7177" max="7177" width="12.140625" style="570" customWidth="1"/>
    <col min="7178" max="7179" width="9.140625" style="570"/>
    <col min="7180" max="7180" width="4.42578125" style="570" customWidth="1"/>
    <col min="7181" max="7181" width="14.140625" style="570" customWidth="1"/>
    <col min="7182" max="7424" width="9.140625" style="570"/>
    <col min="7425" max="7425" width="5.28515625" style="570" customWidth="1"/>
    <col min="7426" max="7426" width="10.85546875" style="570" customWidth="1"/>
    <col min="7427" max="7427" width="13.42578125" style="570" customWidth="1"/>
    <col min="7428" max="7428" width="15.85546875" style="570" customWidth="1"/>
    <col min="7429" max="7429" width="9.7109375" style="570" bestFit="1" customWidth="1"/>
    <col min="7430" max="7431" width="11.7109375" style="570" customWidth="1"/>
    <col min="7432" max="7432" width="11.5703125" style="570" customWidth="1"/>
    <col min="7433" max="7433" width="12.140625" style="570" customWidth="1"/>
    <col min="7434" max="7435" width="9.140625" style="570"/>
    <col min="7436" max="7436" width="4.42578125" style="570" customWidth="1"/>
    <col min="7437" max="7437" width="14.140625" style="570" customWidth="1"/>
    <col min="7438" max="7680" width="9.140625" style="570"/>
    <col min="7681" max="7681" width="5.28515625" style="570" customWidth="1"/>
    <col min="7682" max="7682" width="10.85546875" style="570" customWidth="1"/>
    <col min="7683" max="7683" width="13.42578125" style="570" customWidth="1"/>
    <col min="7684" max="7684" width="15.85546875" style="570" customWidth="1"/>
    <col min="7685" max="7685" width="9.7109375" style="570" bestFit="1" customWidth="1"/>
    <col min="7686" max="7687" width="11.7109375" style="570" customWidth="1"/>
    <col min="7688" max="7688" width="11.5703125" style="570" customWidth="1"/>
    <col min="7689" max="7689" width="12.140625" style="570" customWidth="1"/>
    <col min="7690" max="7691" width="9.140625" style="570"/>
    <col min="7692" max="7692" width="4.42578125" style="570" customWidth="1"/>
    <col min="7693" max="7693" width="14.140625" style="570" customWidth="1"/>
    <col min="7694" max="7936" width="9.140625" style="570"/>
    <col min="7937" max="7937" width="5.28515625" style="570" customWidth="1"/>
    <col min="7938" max="7938" width="10.85546875" style="570" customWidth="1"/>
    <col min="7939" max="7939" width="13.42578125" style="570" customWidth="1"/>
    <col min="7940" max="7940" width="15.85546875" style="570" customWidth="1"/>
    <col min="7941" max="7941" width="9.7109375" style="570" bestFit="1" customWidth="1"/>
    <col min="7942" max="7943" width="11.7109375" style="570" customWidth="1"/>
    <col min="7944" max="7944" width="11.5703125" style="570" customWidth="1"/>
    <col min="7945" max="7945" width="12.140625" style="570" customWidth="1"/>
    <col min="7946" max="7947" width="9.140625" style="570"/>
    <col min="7948" max="7948" width="4.42578125" style="570" customWidth="1"/>
    <col min="7949" max="7949" width="14.140625" style="570" customWidth="1"/>
    <col min="7950" max="8192" width="9.140625" style="570"/>
    <col min="8193" max="8193" width="5.28515625" style="570" customWidth="1"/>
    <col min="8194" max="8194" width="10.85546875" style="570" customWidth="1"/>
    <col min="8195" max="8195" width="13.42578125" style="570" customWidth="1"/>
    <col min="8196" max="8196" width="15.85546875" style="570" customWidth="1"/>
    <col min="8197" max="8197" width="9.7109375" style="570" bestFit="1" customWidth="1"/>
    <col min="8198" max="8199" width="11.7109375" style="570" customWidth="1"/>
    <col min="8200" max="8200" width="11.5703125" style="570" customWidth="1"/>
    <col min="8201" max="8201" width="12.140625" style="570" customWidth="1"/>
    <col min="8202" max="8203" width="9.140625" style="570"/>
    <col min="8204" max="8204" width="4.42578125" style="570" customWidth="1"/>
    <col min="8205" max="8205" width="14.140625" style="570" customWidth="1"/>
    <col min="8206" max="8448" width="9.140625" style="570"/>
    <col min="8449" max="8449" width="5.28515625" style="570" customWidth="1"/>
    <col min="8450" max="8450" width="10.85546875" style="570" customWidth="1"/>
    <col min="8451" max="8451" width="13.42578125" style="570" customWidth="1"/>
    <col min="8452" max="8452" width="15.85546875" style="570" customWidth="1"/>
    <col min="8453" max="8453" width="9.7109375" style="570" bestFit="1" customWidth="1"/>
    <col min="8454" max="8455" width="11.7109375" style="570" customWidth="1"/>
    <col min="8456" max="8456" width="11.5703125" style="570" customWidth="1"/>
    <col min="8457" max="8457" width="12.140625" style="570" customWidth="1"/>
    <col min="8458" max="8459" width="9.140625" style="570"/>
    <col min="8460" max="8460" width="4.42578125" style="570" customWidth="1"/>
    <col min="8461" max="8461" width="14.140625" style="570" customWidth="1"/>
    <col min="8462" max="8704" width="9.140625" style="570"/>
    <col min="8705" max="8705" width="5.28515625" style="570" customWidth="1"/>
    <col min="8706" max="8706" width="10.85546875" style="570" customWidth="1"/>
    <col min="8707" max="8707" width="13.42578125" style="570" customWidth="1"/>
    <col min="8708" max="8708" width="15.85546875" style="570" customWidth="1"/>
    <col min="8709" max="8709" width="9.7109375" style="570" bestFit="1" customWidth="1"/>
    <col min="8710" max="8711" width="11.7109375" style="570" customWidth="1"/>
    <col min="8712" max="8712" width="11.5703125" style="570" customWidth="1"/>
    <col min="8713" max="8713" width="12.140625" style="570" customWidth="1"/>
    <col min="8714" max="8715" width="9.140625" style="570"/>
    <col min="8716" max="8716" width="4.42578125" style="570" customWidth="1"/>
    <col min="8717" max="8717" width="14.140625" style="570" customWidth="1"/>
    <col min="8718" max="8960" width="9.140625" style="570"/>
    <col min="8961" max="8961" width="5.28515625" style="570" customWidth="1"/>
    <col min="8962" max="8962" width="10.85546875" style="570" customWidth="1"/>
    <col min="8963" max="8963" width="13.42578125" style="570" customWidth="1"/>
    <col min="8964" max="8964" width="15.85546875" style="570" customWidth="1"/>
    <col min="8965" max="8965" width="9.7109375" style="570" bestFit="1" customWidth="1"/>
    <col min="8966" max="8967" width="11.7109375" style="570" customWidth="1"/>
    <col min="8968" max="8968" width="11.5703125" style="570" customWidth="1"/>
    <col min="8969" max="8969" width="12.140625" style="570" customWidth="1"/>
    <col min="8970" max="8971" width="9.140625" style="570"/>
    <col min="8972" max="8972" width="4.42578125" style="570" customWidth="1"/>
    <col min="8973" max="8973" width="14.140625" style="570" customWidth="1"/>
    <col min="8974" max="9216" width="9.140625" style="570"/>
    <col min="9217" max="9217" width="5.28515625" style="570" customWidth="1"/>
    <col min="9218" max="9218" width="10.85546875" style="570" customWidth="1"/>
    <col min="9219" max="9219" width="13.42578125" style="570" customWidth="1"/>
    <col min="9220" max="9220" width="15.85546875" style="570" customWidth="1"/>
    <col min="9221" max="9221" width="9.7109375" style="570" bestFit="1" customWidth="1"/>
    <col min="9222" max="9223" width="11.7109375" style="570" customWidth="1"/>
    <col min="9224" max="9224" width="11.5703125" style="570" customWidth="1"/>
    <col min="9225" max="9225" width="12.140625" style="570" customWidth="1"/>
    <col min="9226" max="9227" width="9.140625" style="570"/>
    <col min="9228" max="9228" width="4.42578125" style="570" customWidth="1"/>
    <col min="9229" max="9229" width="14.140625" style="570" customWidth="1"/>
    <col min="9230" max="9472" width="9.140625" style="570"/>
    <col min="9473" max="9473" width="5.28515625" style="570" customWidth="1"/>
    <col min="9474" max="9474" width="10.85546875" style="570" customWidth="1"/>
    <col min="9475" max="9475" width="13.42578125" style="570" customWidth="1"/>
    <col min="9476" max="9476" width="15.85546875" style="570" customWidth="1"/>
    <col min="9477" max="9477" width="9.7109375" style="570" bestFit="1" customWidth="1"/>
    <col min="9478" max="9479" width="11.7109375" style="570" customWidth="1"/>
    <col min="9480" max="9480" width="11.5703125" style="570" customWidth="1"/>
    <col min="9481" max="9481" width="12.140625" style="570" customWidth="1"/>
    <col min="9482" max="9483" width="9.140625" style="570"/>
    <col min="9484" max="9484" width="4.42578125" style="570" customWidth="1"/>
    <col min="9485" max="9485" width="14.140625" style="570" customWidth="1"/>
    <col min="9486" max="9728" width="9.140625" style="570"/>
    <col min="9729" max="9729" width="5.28515625" style="570" customWidth="1"/>
    <col min="9730" max="9730" width="10.85546875" style="570" customWidth="1"/>
    <col min="9731" max="9731" width="13.42578125" style="570" customWidth="1"/>
    <col min="9732" max="9732" width="15.85546875" style="570" customWidth="1"/>
    <col min="9733" max="9733" width="9.7109375" style="570" bestFit="1" customWidth="1"/>
    <col min="9734" max="9735" width="11.7109375" style="570" customWidth="1"/>
    <col min="9736" max="9736" width="11.5703125" style="570" customWidth="1"/>
    <col min="9737" max="9737" width="12.140625" style="570" customWidth="1"/>
    <col min="9738" max="9739" width="9.140625" style="570"/>
    <col min="9740" max="9740" width="4.42578125" style="570" customWidth="1"/>
    <col min="9741" max="9741" width="14.140625" style="570" customWidth="1"/>
    <col min="9742" max="9984" width="9.140625" style="570"/>
    <col min="9985" max="9985" width="5.28515625" style="570" customWidth="1"/>
    <col min="9986" max="9986" width="10.85546875" style="570" customWidth="1"/>
    <col min="9987" max="9987" width="13.42578125" style="570" customWidth="1"/>
    <col min="9988" max="9988" width="15.85546875" style="570" customWidth="1"/>
    <col min="9989" max="9989" width="9.7109375" style="570" bestFit="1" customWidth="1"/>
    <col min="9990" max="9991" width="11.7109375" style="570" customWidth="1"/>
    <col min="9992" max="9992" width="11.5703125" style="570" customWidth="1"/>
    <col min="9993" max="9993" width="12.140625" style="570" customWidth="1"/>
    <col min="9994" max="9995" width="9.140625" style="570"/>
    <col min="9996" max="9996" width="4.42578125" style="570" customWidth="1"/>
    <col min="9997" max="9997" width="14.140625" style="570" customWidth="1"/>
    <col min="9998" max="10240" width="9.140625" style="570"/>
    <col min="10241" max="10241" width="5.28515625" style="570" customWidth="1"/>
    <col min="10242" max="10242" width="10.85546875" style="570" customWidth="1"/>
    <col min="10243" max="10243" width="13.42578125" style="570" customWidth="1"/>
    <col min="10244" max="10244" width="15.85546875" style="570" customWidth="1"/>
    <col min="10245" max="10245" width="9.7109375" style="570" bestFit="1" customWidth="1"/>
    <col min="10246" max="10247" width="11.7109375" style="570" customWidth="1"/>
    <col min="10248" max="10248" width="11.5703125" style="570" customWidth="1"/>
    <col min="10249" max="10249" width="12.140625" style="570" customWidth="1"/>
    <col min="10250" max="10251" width="9.140625" style="570"/>
    <col min="10252" max="10252" width="4.42578125" style="570" customWidth="1"/>
    <col min="10253" max="10253" width="14.140625" style="570" customWidth="1"/>
    <col min="10254" max="10496" width="9.140625" style="570"/>
    <col min="10497" max="10497" width="5.28515625" style="570" customWidth="1"/>
    <col min="10498" max="10498" width="10.85546875" style="570" customWidth="1"/>
    <col min="10499" max="10499" width="13.42578125" style="570" customWidth="1"/>
    <col min="10500" max="10500" width="15.85546875" style="570" customWidth="1"/>
    <col min="10501" max="10501" width="9.7109375" style="570" bestFit="1" customWidth="1"/>
    <col min="10502" max="10503" width="11.7109375" style="570" customWidth="1"/>
    <col min="10504" max="10504" width="11.5703125" style="570" customWidth="1"/>
    <col min="10505" max="10505" width="12.140625" style="570" customWidth="1"/>
    <col min="10506" max="10507" width="9.140625" style="570"/>
    <col min="10508" max="10508" width="4.42578125" style="570" customWidth="1"/>
    <col min="10509" max="10509" width="14.140625" style="570" customWidth="1"/>
    <col min="10510" max="10752" width="9.140625" style="570"/>
    <col min="10753" max="10753" width="5.28515625" style="570" customWidth="1"/>
    <col min="10754" max="10754" width="10.85546875" style="570" customWidth="1"/>
    <col min="10755" max="10755" width="13.42578125" style="570" customWidth="1"/>
    <col min="10756" max="10756" width="15.85546875" style="570" customWidth="1"/>
    <col min="10757" max="10757" width="9.7109375" style="570" bestFit="1" customWidth="1"/>
    <col min="10758" max="10759" width="11.7109375" style="570" customWidth="1"/>
    <col min="10760" max="10760" width="11.5703125" style="570" customWidth="1"/>
    <col min="10761" max="10761" width="12.140625" style="570" customWidth="1"/>
    <col min="10762" max="10763" width="9.140625" style="570"/>
    <col min="10764" max="10764" width="4.42578125" style="570" customWidth="1"/>
    <col min="10765" max="10765" width="14.140625" style="570" customWidth="1"/>
    <col min="10766" max="11008" width="9.140625" style="570"/>
    <col min="11009" max="11009" width="5.28515625" style="570" customWidth="1"/>
    <col min="11010" max="11010" width="10.85546875" style="570" customWidth="1"/>
    <col min="11011" max="11011" width="13.42578125" style="570" customWidth="1"/>
    <col min="11012" max="11012" width="15.85546875" style="570" customWidth="1"/>
    <col min="11013" max="11013" width="9.7109375" style="570" bestFit="1" customWidth="1"/>
    <col min="11014" max="11015" width="11.7109375" style="570" customWidth="1"/>
    <col min="11016" max="11016" width="11.5703125" style="570" customWidth="1"/>
    <col min="11017" max="11017" width="12.140625" style="570" customWidth="1"/>
    <col min="11018" max="11019" width="9.140625" style="570"/>
    <col min="11020" max="11020" width="4.42578125" style="570" customWidth="1"/>
    <col min="11021" max="11021" width="14.140625" style="570" customWidth="1"/>
    <col min="11022" max="11264" width="9.140625" style="570"/>
    <col min="11265" max="11265" width="5.28515625" style="570" customWidth="1"/>
    <col min="11266" max="11266" width="10.85546875" style="570" customWidth="1"/>
    <col min="11267" max="11267" width="13.42578125" style="570" customWidth="1"/>
    <col min="11268" max="11268" width="15.85546875" style="570" customWidth="1"/>
    <col min="11269" max="11269" width="9.7109375" style="570" bestFit="1" customWidth="1"/>
    <col min="11270" max="11271" width="11.7109375" style="570" customWidth="1"/>
    <col min="11272" max="11272" width="11.5703125" style="570" customWidth="1"/>
    <col min="11273" max="11273" width="12.140625" style="570" customWidth="1"/>
    <col min="11274" max="11275" width="9.140625" style="570"/>
    <col min="11276" max="11276" width="4.42578125" style="570" customWidth="1"/>
    <col min="11277" max="11277" width="14.140625" style="570" customWidth="1"/>
    <col min="11278" max="11520" width="9.140625" style="570"/>
    <col min="11521" max="11521" width="5.28515625" style="570" customWidth="1"/>
    <col min="11522" max="11522" width="10.85546875" style="570" customWidth="1"/>
    <col min="11523" max="11523" width="13.42578125" style="570" customWidth="1"/>
    <col min="11524" max="11524" width="15.85546875" style="570" customWidth="1"/>
    <col min="11525" max="11525" width="9.7109375" style="570" bestFit="1" customWidth="1"/>
    <col min="11526" max="11527" width="11.7109375" style="570" customWidth="1"/>
    <col min="11528" max="11528" width="11.5703125" style="570" customWidth="1"/>
    <col min="11529" max="11529" width="12.140625" style="570" customWidth="1"/>
    <col min="11530" max="11531" width="9.140625" style="570"/>
    <col min="11532" max="11532" width="4.42578125" style="570" customWidth="1"/>
    <col min="11533" max="11533" width="14.140625" style="570" customWidth="1"/>
    <col min="11534" max="11776" width="9.140625" style="570"/>
    <col min="11777" max="11777" width="5.28515625" style="570" customWidth="1"/>
    <col min="11778" max="11778" width="10.85546875" style="570" customWidth="1"/>
    <col min="11779" max="11779" width="13.42578125" style="570" customWidth="1"/>
    <col min="11780" max="11780" width="15.85546875" style="570" customWidth="1"/>
    <col min="11781" max="11781" width="9.7109375" style="570" bestFit="1" customWidth="1"/>
    <col min="11782" max="11783" width="11.7109375" style="570" customWidth="1"/>
    <col min="11784" max="11784" width="11.5703125" style="570" customWidth="1"/>
    <col min="11785" max="11785" width="12.140625" style="570" customWidth="1"/>
    <col min="11786" max="11787" width="9.140625" style="570"/>
    <col min="11788" max="11788" width="4.42578125" style="570" customWidth="1"/>
    <col min="11789" max="11789" width="14.140625" style="570" customWidth="1"/>
    <col min="11790" max="12032" width="9.140625" style="570"/>
    <col min="12033" max="12033" width="5.28515625" style="570" customWidth="1"/>
    <col min="12034" max="12034" width="10.85546875" style="570" customWidth="1"/>
    <col min="12035" max="12035" width="13.42578125" style="570" customWidth="1"/>
    <col min="12036" max="12036" width="15.85546875" style="570" customWidth="1"/>
    <col min="12037" max="12037" width="9.7109375" style="570" bestFit="1" customWidth="1"/>
    <col min="12038" max="12039" width="11.7109375" style="570" customWidth="1"/>
    <col min="12040" max="12040" width="11.5703125" style="570" customWidth="1"/>
    <col min="12041" max="12041" width="12.140625" style="570" customWidth="1"/>
    <col min="12042" max="12043" width="9.140625" style="570"/>
    <col min="12044" max="12044" width="4.42578125" style="570" customWidth="1"/>
    <col min="12045" max="12045" width="14.140625" style="570" customWidth="1"/>
    <col min="12046" max="12288" width="9.140625" style="570"/>
    <col min="12289" max="12289" width="5.28515625" style="570" customWidth="1"/>
    <col min="12290" max="12290" width="10.85546875" style="570" customWidth="1"/>
    <col min="12291" max="12291" width="13.42578125" style="570" customWidth="1"/>
    <col min="12292" max="12292" width="15.85546875" style="570" customWidth="1"/>
    <col min="12293" max="12293" width="9.7109375" style="570" bestFit="1" customWidth="1"/>
    <col min="12294" max="12295" width="11.7109375" style="570" customWidth="1"/>
    <col min="12296" max="12296" width="11.5703125" style="570" customWidth="1"/>
    <col min="12297" max="12297" width="12.140625" style="570" customWidth="1"/>
    <col min="12298" max="12299" width="9.140625" style="570"/>
    <col min="12300" max="12300" width="4.42578125" style="570" customWidth="1"/>
    <col min="12301" max="12301" width="14.140625" style="570" customWidth="1"/>
    <col min="12302" max="12544" width="9.140625" style="570"/>
    <col min="12545" max="12545" width="5.28515625" style="570" customWidth="1"/>
    <col min="12546" max="12546" width="10.85546875" style="570" customWidth="1"/>
    <col min="12547" max="12547" width="13.42578125" style="570" customWidth="1"/>
    <col min="12548" max="12548" width="15.85546875" style="570" customWidth="1"/>
    <col min="12549" max="12549" width="9.7109375" style="570" bestFit="1" customWidth="1"/>
    <col min="12550" max="12551" width="11.7109375" style="570" customWidth="1"/>
    <col min="12552" max="12552" width="11.5703125" style="570" customWidth="1"/>
    <col min="12553" max="12553" width="12.140625" style="570" customWidth="1"/>
    <col min="12554" max="12555" width="9.140625" style="570"/>
    <col min="12556" max="12556" width="4.42578125" style="570" customWidth="1"/>
    <col min="12557" max="12557" width="14.140625" style="570" customWidth="1"/>
    <col min="12558" max="12800" width="9.140625" style="570"/>
    <col min="12801" max="12801" width="5.28515625" style="570" customWidth="1"/>
    <col min="12802" max="12802" width="10.85546875" style="570" customWidth="1"/>
    <col min="12803" max="12803" width="13.42578125" style="570" customWidth="1"/>
    <col min="12804" max="12804" width="15.85546875" style="570" customWidth="1"/>
    <col min="12805" max="12805" width="9.7109375" style="570" bestFit="1" customWidth="1"/>
    <col min="12806" max="12807" width="11.7109375" style="570" customWidth="1"/>
    <col min="12808" max="12808" width="11.5703125" style="570" customWidth="1"/>
    <col min="12809" max="12809" width="12.140625" style="570" customWidth="1"/>
    <col min="12810" max="12811" width="9.140625" style="570"/>
    <col min="12812" max="12812" width="4.42578125" style="570" customWidth="1"/>
    <col min="12813" max="12813" width="14.140625" style="570" customWidth="1"/>
    <col min="12814" max="13056" width="9.140625" style="570"/>
    <col min="13057" max="13057" width="5.28515625" style="570" customWidth="1"/>
    <col min="13058" max="13058" width="10.85546875" style="570" customWidth="1"/>
    <col min="13059" max="13059" width="13.42578125" style="570" customWidth="1"/>
    <col min="13060" max="13060" width="15.85546875" style="570" customWidth="1"/>
    <col min="13061" max="13061" width="9.7109375" style="570" bestFit="1" customWidth="1"/>
    <col min="13062" max="13063" width="11.7109375" style="570" customWidth="1"/>
    <col min="13064" max="13064" width="11.5703125" style="570" customWidth="1"/>
    <col min="13065" max="13065" width="12.140625" style="570" customWidth="1"/>
    <col min="13066" max="13067" width="9.140625" style="570"/>
    <col min="13068" max="13068" width="4.42578125" style="570" customWidth="1"/>
    <col min="13069" max="13069" width="14.140625" style="570" customWidth="1"/>
    <col min="13070" max="13312" width="9.140625" style="570"/>
    <col min="13313" max="13313" width="5.28515625" style="570" customWidth="1"/>
    <col min="13314" max="13314" width="10.85546875" style="570" customWidth="1"/>
    <col min="13315" max="13315" width="13.42578125" style="570" customWidth="1"/>
    <col min="13316" max="13316" width="15.85546875" style="570" customWidth="1"/>
    <col min="13317" max="13317" width="9.7109375" style="570" bestFit="1" customWidth="1"/>
    <col min="13318" max="13319" width="11.7109375" style="570" customWidth="1"/>
    <col min="13320" max="13320" width="11.5703125" style="570" customWidth="1"/>
    <col min="13321" max="13321" width="12.140625" style="570" customWidth="1"/>
    <col min="13322" max="13323" width="9.140625" style="570"/>
    <col min="13324" max="13324" width="4.42578125" style="570" customWidth="1"/>
    <col min="13325" max="13325" width="14.140625" style="570" customWidth="1"/>
    <col min="13326" max="13568" width="9.140625" style="570"/>
    <col min="13569" max="13569" width="5.28515625" style="570" customWidth="1"/>
    <col min="13570" max="13570" width="10.85546875" style="570" customWidth="1"/>
    <col min="13571" max="13571" width="13.42578125" style="570" customWidth="1"/>
    <col min="13572" max="13572" width="15.85546875" style="570" customWidth="1"/>
    <col min="13573" max="13573" width="9.7109375" style="570" bestFit="1" customWidth="1"/>
    <col min="13574" max="13575" width="11.7109375" style="570" customWidth="1"/>
    <col min="13576" max="13576" width="11.5703125" style="570" customWidth="1"/>
    <col min="13577" max="13577" width="12.140625" style="570" customWidth="1"/>
    <col min="13578" max="13579" width="9.140625" style="570"/>
    <col min="13580" max="13580" width="4.42578125" style="570" customWidth="1"/>
    <col min="13581" max="13581" width="14.140625" style="570" customWidth="1"/>
    <col min="13582" max="13824" width="9.140625" style="570"/>
    <col min="13825" max="13825" width="5.28515625" style="570" customWidth="1"/>
    <col min="13826" max="13826" width="10.85546875" style="570" customWidth="1"/>
    <col min="13827" max="13827" width="13.42578125" style="570" customWidth="1"/>
    <col min="13828" max="13828" width="15.85546875" style="570" customWidth="1"/>
    <col min="13829" max="13829" width="9.7109375" style="570" bestFit="1" customWidth="1"/>
    <col min="13830" max="13831" width="11.7109375" style="570" customWidth="1"/>
    <col min="13832" max="13832" width="11.5703125" style="570" customWidth="1"/>
    <col min="13833" max="13833" width="12.140625" style="570" customWidth="1"/>
    <col min="13834" max="13835" width="9.140625" style="570"/>
    <col min="13836" max="13836" width="4.42578125" style="570" customWidth="1"/>
    <col min="13837" max="13837" width="14.140625" style="570" customWidth="1"/>
    <col min="13838" max="14080" width="9.140625" style="570"/>
    <col min="14081" max="14081" width="5.28515625" style="570" customWidth="1"/>
    <col min="14082" max="14082" width="10.85546875" style="570" customWidth="1"/>
    <col min="14083" max="14083" width="13.42578125" style="570" customWidth="1"/>
    <col min="14084" max="14084" width="15.85546875" style="570" customWidth="1"/>
    <col min="14085" max="14085" width="9.7109375" style="570" bestFit="1" customWidth="1"/>
    <col min="14086" max="14087" width="11.7109375" style="570" customWidth="1"/>
    <col min="14088" max="14088" width="11.5703125" style="570" customWidth="1"/>
    <col min="14089" max="14089" width="12.140625" style="570" customWidth="1"/>
    <col min="14090" max="14091" width="9.140625" style="570"/>
    <col min="14092" max="14092" width="4.42578125" style="570" customWidth="1"/>
    <col min="14093" max="14093" width="14.140625" style="570" customWidth="1"/>
    <col min="14094" max="14336" width="9.140625" style="570"/>
    <col min="14337" max="14337" width="5.28515625" style="570" customWidth="1"/>
    <col min="14338" max="14338" width="10.85546875" style="570" customWidth="1"/>
    <col min="14339" max="14339" width="13.42578125" style="570" customWidth="1"/>
    <col min="14340" max="14340" width="15.85546875" style="570" customWidth="1"/>
    <col min="14341" max="14341" width="9.7109375" style="570" bestFit="1" customWidth="1"/>
    <col min="14342" max="14343" width="11.7109375" style="570" customWidth="1"/>
    <col min="14344" max="14344" width="11.5703125" style="570" customWidth="1"/>
    <col min="14345" max="14345" width="12.140625" style="570" customWidth="1"/>
    <col min="14346" max="14347" width="9.140625" style="570"/>
    <col min="14348" max="14348" width="4.42578125" style="570" customWidth="1"/>
    <col min="14349" max="14349" width="14.140625" style="570" customWidth="1"/>
    <col min="14350" max="14592" width="9.140625" style="570"/>
    <col min="14593" max="14593" width="5.28515625" style="570" customWidth="1"/>
    <col min="14594" max="14594" width="10.85546875" style="570" customWidth="1"/>
    <col min="14595" max="14595" width="13.42578125" style="570" customWidth="1"/>
    <col min="14596" max="14596" width="15.85546875" style="570" customWidth="1"/>
    <col min="14597" max="14597" width="9.7109375" style="570" bestFit="1" customWidth="1"/>
    <col min="14598" max="14599" width="11.7109375" style="570" customWidth="1"/>
    <col min="14600" max="14600" width="11.5703125" style="570" customWidth="1"/>
    <col min="14601" max="14601" width="12.140625" style="570" customWidth="1"/>
    <col min="14602" max="14603" width="9.140625" style="570"/>
    <col min="14604" max="14604" width="4.42578125" style="570" customWidth="1"/>
    <col min="14605" max="14605" width="14.140625" style="570" customWidth="1"/>
    <col min="14606" max="14848" width="9.140625" style="570"/>
    <col min="14849" max="14849" width="5.28515625" style="570" customWidth="1"/>
    <col min="14850" max="14850" width="10.85546875" style="570" customWidth="1"/>
    <col min="14851" max="14851" width="13.42578125" style="570" customWidth="1"/>
    <col min="14852" max="14852" width="15.85546875" style="570" customWidth="1"/>
    <col min="14853" max="14853" width="9.7109375" style="570" bestFit="1" customWidth="1"/>
    <col min="14854" max="14855" width="11.7109375" style="570" customWidth="1"/>
    <col min="14856" max="14856" width="11.5703125" style="570" customWidth="1"/>
    <col min="14857" max="14857" width="12.140625" style="570" customWidth="1"/>
    <col min="14858" max="14859" width="9.140625" style="570"/>
    <col min="14860" max="14860" width="4.42578125" style="570" customWidth="1"/>
    <col min="14861" max="14861" width="14.140625" style="570" customWidth="1"/>
    <col min="14862" max="15104" width="9.140625" style="570"/>
    <col min="15105" max="15105" width="5.28515625" style="570" customWidth="1"/>
    <col min="15106" max="15106" width="10.85546875" style="570" customWidth="1"/>
    <col min="15107" max="15107" width="13.42578125" style="570" customWidth="1"/>
    <col min="15108" max="15108" width="15.85546875" style="570" customWidth="1"/>
    <col min="15109" max="15109" width="9.7109375" style="570" bestFit="1" customWidth="1"/>
    <col min="15110" max="15111" width="11.7109375" style="570" customWidth="1"/>
    <col min="15112" max="15112" width="11.5703125" style="570" customWidth="1"/>
    <col min="15113" max="15113" width="12.140625" style="570" customWidth="1"/>
    <col min="15114" max="15115" width="9.140625" style="570"/>
    <col min="15116" max="15116" width="4.42578125" style="570" customWidth="1"/>
    <col min="15117" max="15117" width="14.140625" style="570" customWidth="1"/>
    <col min="15118" max="15360" width="9.140625" style="570"/>
    <col min="15361" max="15361" width="5.28515625" style="570" customWidth="1"/>
    <col min="15362" max="15362" width="10.85546875" style="570" customWidth="1"/>
    <col min="15363" max="15363" width="13.42578125" style="570" customWidth="1"/>
    <col min="15364" max="15364" width="15.85546875" style="570" customWidth="1"/>
    <col min="15365" max="15365" width="9.7109375" style="570" bestFit="1" customWidth="1"/>
    <col min="15366" max="15367" width="11.7109375" style="570" customWidth="1"/>
    <col min="15368" max="15368" width="11.5703125" style="570" customWidth="1"/>
    <col min="15369" max="15369" width="12.140625" style="570" customWidth="1"/>
    <col min="15370" max="15371" width="9.140625" style="570"/>
    <col min="15372" max="15372" width="4.42578125" style="570" customWidth="1"/>
    <col min="15373" max="15373" width="14.140625" style="570" customWidth="1"/>
    <col min="15374" max="15616" width="9.140625" style="570"/>
    <col min="15617" max="15617" width="5.28515625" style="570" customWidth="1"/>
    <col min="15618" max="15618" width="10.85546875" style="570" customWidth="1"/>
    <col min="15619" max="15619" width="13.42578125" style="570" customWidth="1"/>
    <col min="15620" max="15620" width="15.85546875" style="570" customWidth="1"/>
    <col min="15621" max="15621" width="9.7109375" style="570" bestFit="1" customWidth="1"/>
    <col min="15622" max="15623" width="11.7109375" style="570" customWidth="1"/>
    <col min="15624" max="15624" width="11.5703125" style="570" customWidth="1"/>
    <col min="15625" max="15625" width="12.140625" style="570" customWidth="1"/>
    <col min="15626" max="15627" width="9.140625" style="570"/>
    <col min="15628" max="15628" width="4.42578125" style="570" customWidth="1"/>
    <col min="15629" max="15629" width="14.140625" style="570" customWidth="1"/>
    <col min="15630" max="15872" width="9.140625" style="570"/>
    <col min="15873" max="15873" width="5.28515625" style="570" customWidth="1"/>
    <col min="15874" max="15874" width="10.85546875" style="570" customWidth="1"/>
    <col min="15875" max="15875" width="13.42578125" style="570" customWidth="1"/>
    <col min="15876" max="15876" width="15.85546875" style="570" customWidth="1"/>
    <col min="15877" max="15877" width="9.7109375" style="570" bestFit="1" customWidth="1"/>
    <col min="15878" max="15879" width="11.7109375" style="570" customWidth="1"/>
    <col min="15880" max="15880" width="11.5703125" style="570" customWidth="1"/>
    <col min="15881" max="15881" width="12.140625" style="570" customWidth="1"/>
    <col min="15882" max="15883" width="9.140625" style="570"/>
    <col min="15884" max="15884" width="4.42578125" style="570" customWidth="1"/>
    <col min="15885" max="15885" width="14.140625" style="570" customWidth="1"/>
    <col min="15886" max="16128" width="9.140625" style="570"/>
    <col min="16129" max="16129" width="5.28515625" style="570" customWidth="1"/>
    <col min="16130" max="16130" width="10.85546875" style="570" customWidth="1"/>
    <col min="16131" max="16131" width="13.42578125" style="570" customWidth="1"/>
    <col min="16132" max="16132" width="15.85546875" style="570" customWidth="1"/>
    <col min="16133" max="16133" width="9.7109375" style="570" bestFit="1" customWidth="1"/>
    <col min="16134" max="16135" width="11.7109375" style="570" customWidth="1"/>
    <col min="16136" max="16136" width="11.5703125" style="570" customWidth="1"/>
    <col min="16137" max="16137" width="12.140625" style="570" customWidth="1"/>
    <col min="16138" max="16139" width="9.140625" style="570"/>
    <col min="16140" max="16140" width="4.42578125" style="570" customWidth="1"/>
    <col min="16141" max="16141" width="14.140625" style="570" customWidth="1"/>
    <col min="16142" max="16384" width="9.140625" style="570"/>
  </cols>
  <sheetData>
    <row r="1" spans="1:20" s="572" customFormat="1" ht="20.100000000000001" customHeight="1">
      <c r="A1" s="1660" t="s">
        <v>1000</v>
      </c>
      <c r="B1" s="1661"/>
      <c r="C1" s="1661"/>
      <c r="D1" s="1661"/>
      <c r="E1" s="1661"/>
      <c r="F1" s="1661"/>
      <c r="G1" s="1661"/>
      <c r="H1" s="1661"/>
      <c r="I1" s="1661"/>
      <c r="J1" s="1661"/>
      <c r="K1" s="1661"/>
      <c r="L1" s="1661"/>
      <c r="M1" s="1662"/>
    </row>
    <row r="2" spans="1:20" s="572" customFormat="1" ht="20.100000000000001" customHeight="1">
      <c r="A2" s="1663"/>
      <c r="B2" s="1663"/>
      <c r="C2" s="1663"/>
      <c r="D2" s="1663"/>
      <c r="E2" s="1663"/>
      <c r="F2" s="1663"/>
      <c r="G2" s="1663"/>
      <c r="H2" s="1663"/>
      <c r="I2" s="1663"/>
      <c r="J2" s="1663"/>
      <c r="K2" s="1663"/>
      <c r="L2" s="1663"/>
      <c r="M2" s="1663"/>
    </row>
    <row r="3" spans="1:20" s="572" customFormat="1" ht="20.100000000000001" customHeight="1">
      <c r="A3" s="551"/>
      <c r="B3" s="552" t="s">
        <v>644</v>
      </c>
      <c r="C3" s="552"/>
      <c r="D3" s="552"/>
      <c r="E3" s="552"/>
      <c r="F3" s="552"/>
      <c r="G3" s="552"/>
      <c r="H3" s="552"/>
      <c r="I3" s="552"/>
      <c r="J3" s="552"/>
      <c r="K3" s="552"/>
      <c r="L3" s="552"/>
      <c r="M3" s="552"/>
    </row>
    <row r="4" spans="1:20" s="572" customFormat="1" ht="20.100000000000001" customHeight="1">
      <c r="A4" s="551"/>
      <c r="B4" s="552" t="s">
        <v>645</v>
      </c>
      <c r="C4" s="552"/>
      <c r="D4" s="552">
        <v>600</v>
      </c>
      <c r="E4" s="552" t="s">
        <v>646</v>
      </c>
      <c r="F4" s="552"/>
      <c r="G4" s="552"/>
      <c r="H4" s="552"/>
      <c r="I4" s="552"/>
      <c r="J4" s="552"/>
      <c r="K4" s="552"/>
      <c r="L4" s="552"/>
      <c r="M4" s="552"/>
    </row>
    <row r="5" spans="1:20" s="572" customFormat="1" ht="20.100000000000001" customHeight="1">
      <c r="A5" s="551"/>
      <c r="B5" s="552" t="s">
        <v>647</v>
      </c>
      <c r="C5" s="552"/>
      <c r="D5" s="552">
        <v>85</v>
      </c>
      <c r="E5" s="552" t="s">
        <v>646</v>
      </c>
      <c r="F5" s="552"/>
      <c r="G5" s="552"/>
      <c r="H5" s="552"/>
      <c r="I5" s="552"/>
      <c r="J5" s="552"/>
      <c r="K5" s="552"/>
      <c r="L5" s="552"/>
      <c r="M5" s="552"/>
    </row>
    <row r="6" spans="1:20" s="572" customFormat="1" ht="20.100000000000001" customHeight="1">
      <c r="A6" s="551"/>
      <c r="B6" s="552"/>
      <c r="C6" s="552"/>
      <c r="D6" s="552"/>
      <c r="E6" s="552"/>
      <c r="F6" s="552"/>
      <c r="G6" s="552"/>
      <c r="H6" s="552"/>
      <c r="I6" s="552"/>
      <c r="J6" s="552"/>
      <c r="K6" s="552"/>
      <c r="L6" s="552"/>
      <c r="M6" s="552"/>
    </row>
    <row r="7" spans="1:20" s="572" customFormat="1" ht="20.100000000000001" customHeight="1">
      <c r="A7" s="551" t="s">
        <v>648</v>
      </c>
      <c r="B7" s="552" t="s">
        <v>649</v>
      </c>
      <c r="C7" s="552"/>
      <c r="D7" s="552">
        <f>D4</f>
        <v>600</v>
      </c>
      <c r="E7" s="552" t="s">
        <v>650</v>
      </c>
      <c r="F7" s="552"/>
      <c r="G7" s="552"/>
      <c r="H7" s="553"/>
      <c r="I7" s="552"/>
      <c r="J7" s="552"/>
      <c r="K7" s="552"/>
      <c r="L7" s="552" t="s">
        <v>651</v>
      </c>
      <c r="M7" s="554">
        <v>3276</v>
      </c>
      <c r="O7" s="573"/>
      <c r="P7" s="573"/>
      <c r="Q7" s="573"/>
      <c r="R7" s="573"/>
      <c r="S7" s="573"/>
    </row>
    <row r="8" spans="1:20" s="572" customFormat="1" ht="20.100000000000001" customHeight="1">
      <c r="A8" s="551"/>
      <c r="B8" s="1664" t="s">
        <v>652</v>
      </c>
      <c r="C8" s="1664"/>
      <c r="D8" s="1664"/>
      <c r="E8" s="1664"/>
      <c r="F8" s="1664"/>
      <c r="G8" s="1664"/>
      <c r="H8" s="552"/>
      <c r="I8" s="552"/>
      <c r="J8" s="552"/>
      <c r="K8" s="552"/>
      <c r="L8" s="552"/>
      <c r="M8" s="552"/>
    </row>
    <row r="9" spans="1:20" s="572" customFormat="1" ht="20.100000000000001" customHeight="1">
      <c r="A9" s="551"/>
      <c r="B9" s="552"/>
      <c r="C9" s="552"/>
      <c r="D9" s="552"/>
      <c r="E9" s="552"/>
      <c r="F9" s="552"/>
      <c r="G9" s="552"/>
      <c r="H9" s="552"/>
      <c r="I9" s="552"/>
      <c r="J9" s="552"/>
      <c r="K9" s="552"/>
      <c r="L9" s="552"/>
      <c r="M9" s="552"/>
    </row>
    <row r="10" spans="1:20" s="572" customFormat="1" ht="20.100000000000001" customHeight="1">
      <c r="A10" s="551"/>
      <c r="B10" s="552"/>
      <c r="C10" s="552"/>
      <c r="D10" s="552"/>
      <c r="E10" s="552"/>
      <c r="F10" s="552"/>
      <c r="G10" s="552"/>
      <c r="H10" s="552"/>
      <c r="I10" s="552"/>
      <c r="J10" s="552"/>
      <c r="K10" s="552"/>
      <c r="L10" s="552"/>
      <c r="M10" s="552"/>
    </row>
    <row r="11" spans="1:20" s="572" customFormat="1" ht="20.100000000000001" customHeight="1">
      <c r="A11" s="551" t="s">
        <v>653</v>
      </c>
      <c r="B11" s="555" t="s">
        <v>654</v>
      </c>
      <c r="C11" s="555"/>
      <c r="D11" s="555"/>
      <c r="E11" s="555"/>
      <c r="F11" s="555"/>
      <c r="G11" s="555"/>
      <c r="H11" s="552"/>
      <c r="I11" s="552"/>
      <c r="J11" s="552"/>
      <c r="K11" s="552"/>
      <c r="L11" s="552"/>
      <c r="M11" s="552"/>
      <c r="O11" s="1667"/>
      <c r="P11" s="1667"/>
      <c r="Q11" s="1667"/>
      <c r="R11" s="1667"/>
      <c r="S11" s="1667"/>
      <c r="T11" s="1667"/>
    </row>
    <row r="12" spans="1:20" s="572" customFormat="1" ht="20.100000000000001" customHeight="1">
      <c r="A12" s="551"/>
      <c r="B12" s="555" t="s">
        <v>655</v>
      </c>
      <c r="C12" s="555">
        <v>7.01</v>
      </c>
      <c r="D12" s="555" t="s">
        <v>656</v>
      </c>
      <c r="E12" s="555"/>
      <c r="F12" s="1668" t="s">
        <v>657</v>
      </c>
      <c r="G12" s="1668"/>
      <c r="H12" s="552">
        <f>SUM(C12:C13)</f>
        <v>8.19</v>
      </c>
      <c r="I12" s="552" t="s">
        <v>658</v>
      </c>
      <c r="J12" s="552" t="s">
        <v>659</v>
      </c>
      <c r="K12" s="552"/>
      <c r="L12" s="552"/>
      <c r="M12" s="552"/>
      <c r="O12" s="716"/>
      <c r="P12" s="716"/>
      <c r="Q12" s="716"/>
      <c r="R12" s="716"/>
      <c r="S12" s="716"/>
      <c r="T12" s="716"/>
    </row>
    <row r="13" spans="1:20" s="572" customFormat="1" ht="20.100000000000001" customHeight="1">
      <c r="A13" s="551"/>
      <c r="B13" s="555" t="s">
        <v>660</v>
      </c>
      <c r="C13" s="555">
        <v>1.18</v>
      </c>
      <c r="D13" s="555" t="s">
        <v>656</v>
      </c>
      <c r="E13" s="555"/>
      <c r="F13" s="555"/>
      <c r="G13" s="555"/>
      <c r="H13" s="552"/>
      <c r="I13" s="552"/>
      <c r="J13" s="552"/>
      <c r="K13" s="552"/>
      <c r="L13" s="552"/>
      <c r="M13" s="552"/>
      <c r="O13" s="716"/>
      <c r="P13" s="716"/>
      <c r="Q13" s="716"/>
      <c r="R13" s="716"/>
      <c r="S13" s="716"/>
      <c r="T13" s="716"/>
    </row>
    <row r="14" spans="1:20" s="572" customFormat="1" ht="20.100000000000001" customHeight="1">
      <c r="A14" s="551"/>
      <c r="B14" s="556"/>
      <c r="C14" s="556"/>
      <c r="D14" s="556"/>
      <c r="E14" s="552"/>
      <c r="F14" s="552"/>
      <c r="G14" s="552"/>
      <c r="H14" s="552"/>
      <c r="I14" s="552"/>
      <c r="J14" s="552"/>
      <c r="K14" s="552"/>
      <c r="L14" s="552"/>
      <c r="M14" s="552"/>
    </row>
    <row r="15" spans="1:20" s="572" customFormat="1" ht="20.100000000000001" customHeight="1">
      <c r="A15" s="551"/>
      <c r="B15" s="555" t="s">
        <v>661</v>
      </c>
      <c r="C15" s="717"/>
      <c r="D15" s="558"/>
      <c r="E15" s="558">
        <v>37000</v>
      </c>
      <c r="F15" s="554"/>
      <c r="G15" s="552" t="s">
        <v>662</v>
      </c>
      <c r="H15" s="552"/>
      <c r="I15" s="554"/>
      <c r="J15" s="552"/>
      <c r="K15" s="552"/>
      <c r="L15" s="552"/>
      <c r="M15" s="552"/>
    </row>
    <row r="16" spans="1:20" s="572" customFormat="1" ht="20.100000000000001" customHeight="1">
      <c r="A16" s="551"/>
      <c r="B16" s="555" t="s">
        <v>663</v>
      </c>
      <c r="C16" s="717"/>
      <c r="D16" s="558"/>
      <c r="E16" s="558">
        <v>47000</v>
      </c>
      <c r="F16" s="554"/>
      <c r="G16" s="552" t="s">
        <v>664</v>
      </c>
      <c r="H16" s="552"/>
      <c r="I16" s="554"/>
      <c r="J16" s="552"/>
      <c r="K16" s="552"/>
      <c r="L16" s="552"/>
      <c r="M16" s="552"/>
    </row>
    <row r="17" spans="1:15" s="572" customFormat="1" ht="18.75">
      <c r="A17" s="551"/>
      <c r="B17" s="552"/>
      <c r="C17" s="552" t="s">
        <v>665</v>
      </c>
      <c r="D17" s="717" t="s">
        <v>651</v>
      </c>
      <c r="E17" s="552"/>
      <c r="F17" s="559">
        <f>E15-E16</f>
        <v>-10000</v>
      </c>
      <c r="G17" s="1666">
        <f>-H12</f>
        <v>-8.19</v>
      </c>
      <c r="H17" s="560"/>
      <c r="I17" s="555"/>
      <c r="J17" s="552"/>
      <c r="K17" s="552"/>
      <c r="L17" s="552" t="s">
        <v>651</v>
      </c>
      <c r="M17" s="561">
        <f>(E15-E16)/1000*H12</f>
        <v>-81.899999999999991</v>
      </c>
    </row>
    <row r="18" spans="1:15" s="572" customFormat="1" ht="18.75">
      <c r="A18" s="551"/>
      <c r="B18" s="552"/>
      <c r="C18" s="552"/>
      <c r="D18" s="552"/>
      <c r="E18" s="552"/>
      <c r="F18" s="562">
        <v>1000</v>
      </c>
      <c r="G18" s="1666"/>
      <c r="H18" s="714"/>
      <c r="I18" s="555"/>
      <c r="J18" s="552"/>
      <c r="K18" s="552"/>
      <c r="L18" s="552"/>
      <c r="M18" s="552"/>
    </row>
    <row r="19" spans="1:15" s="572" customFormat="1" ht="18.75">
      <c r="A19" s="551"/>
      <c r="B19" s="552"/>
      <c r="C19" s="552"/>
      <c r="D19" s="552"/>
      <c r="E19" s="552"/>
      <c r="F19" s="552"/>
      <c r="G19" s="552"/>
      <c r="H19" s="552"/>
      <c r="I19" s="552"/>
      <c r="J19" s="552"/>
      <c r="K19" s="552"/>
      <c r="L19" s="552"/>
      <c r="M19" s="552"/>
    </row>
    <row r="20" spans="1:15" s="572" customFormat="1" ht="18.75">
      <c r="A20" s="551"/>
      <c r="B20" s="1664"/>
      <c r="C20" s="1664"/>
      <c r="D20" s="1664"/>
      <c r="E20" s="1664"/>
      <c r="F20" s="1664"/>
      <c r="G20" s="1664"/>
      <c r="H20" s="1664"/>
      <c r="I20" s="552"/>
      <c r="J20" s="552"/>
      <c r="K20" s="552"/>
      <c r="L20" s="552" t="s">
        <v>651</v>
      </c>
      <c r="M20" s="563">
        <f>M7+M17</f>
        <v>3194.1</v>
      </c>
    </row>
    <row r="21" spans="1:15" s="572" customFormat="1" ht="18.75">
      <c r="A21" s="551"/>
      <c r="B21" s="552"/>
      <c r="C21" s="552"/>
      <c r="D21" s="552"/>
      <c r="E21" s="552"/>
      <c r="F21" s="552"/>
      <c r="G21" s="552"/>
      <c r="H21" s="552"/>
      <c r="I21" s="552"/>
      <c r="J21" s="552"/>
      <c r="K21" s="552"/>
      <c r="L21" s="552"/>
      <c r="M21" s="552"/>
    </row>
    <row r="22" spans="1:15" s="572" customFormat="1" ht="18.75">
      <c r="A22" s="551" t="s">
        <v>666</v>
      </c>
      <c r="B22" s="1664" t="s">
        <v>667</v>
      </c>
      <c r="C22" s="1664"/>
      <c r="D22" s="1664"/>
      <c r="E22" s="1664"/>
      <c r="F22" s="1664"/>
      <c r="G22" s="1664"/>
      <c r="H22" s="1664"/>
      <c r="I22" s="552"/>
      <c r="J22" s="552"/>
      <c r="K22" s="552"/>
      <c r="L22" s="552"/>
      <c r="M22" s="563"/>
    </row>
    <row r="23" spans="1:15" s="572" customFormat="1" ht="18.75">
      <c r="A23" s="551"/>
      <c r="B23" s="552" t="s">
        <v>668</v>
      </c>
      <c r="C23" s="552"/>
      <c r="D23" s="555" t="s">
        <v>669</v>
      </c>
      <c r="E23" s="555">
        <f>(D4+D5/2)/1000</f>
        <v>0.64249999999999996</v>
      </c>
      <c r="F23" s="714" t="s">
        <v>163</v>
      </c>
      <c r="G23" s="555">
        <f>D5/1000</f>
        <v>8.5000000000000006E-2</v>
      </c>
      <c r="H23" s="555" t="s">
        <v>670</v>
      </c>
      <c r="I23" s="556"/>
      <c r="J23" s="556"/>
      <c r="K23" s="564">
        <f>(22/7)*((D4+(D5/2))*D5*2.65)/1000000</f>
        <v>0.45484410714285717</v>
      </c>
      <c r="L23" s="555" t="s">
        <v>109</v>
      </c>
      <c r="M23" s="563"/>
    </row>
    <row r="24" spans="1:15" s="572" customFormat="1" ht="18.75">
      <c r="A24" s="551"/>
      <c r="B24" s="552" t="s">
        <v>671</v>
      </c>
      <c r="C24" s="552"/>
      <c r="D24" s="552"/>
      <c r="E24" s="552"/>
      <c r="F24" s="552"/>
      <c r="G24" s="555"/>
      <c r="H24" s="555"/>
      <c r="I24" s="552"/>
      <c r="J24" s="552"/>
      <c r="K24" s="552"/>
      <c r="L24" s="552"/>
      <c r="M24" s="563"/>
    </row>
    <row r="25" spans="1:15" s="572" customFormat="1" ht="18.75">
      <c r="A25" s="551"/>
      <c r="B25" s="552">
        <f>K23</f>
        <v>0.45484410714285717</v>
      </c>
      <c r="C25" s="565" t="s">
        <v>672</v>
      </c>
      <c r="D25" s="565">
        <f>B25*7.2</f>
        <v>3.2748775714285716</v>
      </c>
      <c r="E25" s="552" t="s">
        <v>673</v>
      </c>
      <c r="F25" s="552"/>
      <c r="G25" s="558">
        <f>D25/2.5</f>
        <v>1.3099510285714286</v>
      </c>
      <c r="H25" s="552" t="s">
        <v>674</v>
      </c>
      <c r="I25" s="556"/>
      <c r="J25" s="556"/>
      <c r="K25" s="556"/>
      <c r="L25" s="556"/>
      <c r="M25" s="556"/>
      <c r="O25" s="575"/>
    </row>
    <row r="26" spans="1:15" s="572" customFormat="1" ht="18.75">
      <c r="A26" s="551"/>
      <c r="B26" s="555" t="s">
        <v>675</v>
      </c>
      <c r="C26" s="554"/>
      <c r="D26" s="566"/>
      <c r="E26" s="566"/>
      <c r="F26" s="717" t="s">
        <v>676</v>
      </c>
      <c r="G26" s="558">
        <f>G25*50</f>
        <v>65.497551428571427</v>
      </c>
      <c r="H26" s="552" t="s">
        <v>658</v>
      </c>
      <c r="I26" s="552"/>
      <c r="J26" s="552"/>
      <c r="K26" s="552"/>
      <c r="L26" s="552"/>
      <c r="M26" s="563"/>
    </row>
    <row r="27" spans="1:15" s="572" customFormat="1" ht="18.75">
      <c r="A27" s="551"/>
      <c r="B27" s="552"/>
      <c r="C27" s="552"/>
      <c r="D27" s="552"/>
      <c r="E27" s="552"/>
      <c r="F27" s="717"/>
      <c r="G27" s="339"/>
      <c r="H27" s="556"/>
      <c r="I27" s="552"/>
      <c r="J27" s="552"/>
      <c r="K27" s="552"/>
      <c r="L27" s="552"/>
      <c r="M27" s="563"/>
    </row>
    <row r="28" spans="1:15" s="572" customFormat="1" ht="18.75">
      <c r="A28" s="551"/>
      <c r="B28" s="1664" t="s">
        <v>677</v>
      </c>
      <c r="C28" s="1664"/>
      <c r="D28" s="1664"/>
      <c r="E28" s="1664"/>
      <c r="F28" s="1664"/>
      <c r="G28" s="1664"/>
      <c r="H28" s="552"/>
      <c r="I28" s="552"/>
      <c r="J28" s="552"/>
      <c r="K28" s="552"/>
      <c r="L28" s="552"/>
      <c r="M28" s="563"/>
    </row>
    <row r="29" spans="1:15" s="572" customFormat="1" ht="18.75">
      <c r="A29" s="551"/>
      <c r="B29" s="715" t="s">
        <v>678</v>
      </c>
      <c r="C29" s="715"/>
      <c r="D29" s="715"/>
      <c r="E29" s="562">
        <v>4300</v>
      </c>
      <c r="F29" s="715" t="s">
        <v>679</v>
      </c>
      <c r="G29" s="715"/>
      <c r="H29" s="552"/>
      <c r="I29" s="552"/>
      <c r="J29" s="552"/>
      <c r="K29" s="552"/>
      <c r="L29" s="552"/>
      <c r="M29" s="563"/>
    </row>
    <row r="30" spans="1:15" s="572" customFormat="1" ht="18.75">
      <c r="A30" s="551"/>
      <c r="B30" s="715" t="s">
        <v>680</v>
      </c>
      <c r="C30" s="715"/>
      <c r="D30" s="715"/>
      <c r="E30" s="562">
        <v>5300</v>
      </c>
      <c r="F30" s="715" t="s">
        <v>679</v>
      </c>
      <c r="G30" s="715"/>
      <c r="H30" s="552"/>
      <c r="I30" s="552"/>
      <c r="J30" s="552"/>
      <c r="K30" s="552"/>
      <c r="L30" s="552"/>
      <c r="M30" s="563"/>
    </row>
    <row r="31" spans="1:15" s="572" customFormat="1" ht="18.75">
      <c r="A31" s="551"/>
      <c r="B31" s="555"/>
      <c r="C31" s="555"/>
      <c r="D31" s="717"/>
      <c r="E31" s="717"/>
      <c r="F31" s="715"/>
      <c r="G31" s="339">
        <f>E29-E30</f>
        <v>-1000</v>
      </c>
      <c r="H31" s="1665">
        <f>G26</f>
        <v>65.497551428571427</v>
      </c>
      <c r="I31" s="714"/>
      <c r="J31" s="552"/>
      <c r="K31" s="568"/>
      <c r="L31" s="552" t="s">
        <v>651</v>
      </c>
      <c r="M31" s="554">
        <f>G31/1000*H31</f>
        <v>-65.497551428571427</v>
      </c>
    </row>
    <row r="32" spans="1:15" s="572" customFormat="1" ht="18.75">
      <c r="A32" s="551"/>
      <c r="B32" s="552"/>
      <c r="C32" s="552"/>
      <c r="D32" s="552"/>
      <c r="E32" s="552"/>
      <c r="F32" s="552"/>
      <c r="G32" s="714">
        <v>1000</v>
      </c>
      <c r="H32" s="1666"/>
      <c r="I32" s="714"/>
      <c r="J32" s="552"/>
      <c r="K32" s="552"/>
      <c r="L32" s="552"/>
      <c r="M32" s="552"/>
    </row>
    <row r="33" spans="1:16" s="572" customFormat="1" ht="18.75">
      <c r="A33" s="551"/>
      <c r="B33" s="552"/>
      <c r="C33" s="552"/>
      <c r="D33" s="552"/>
      <c r="E33" s="552"/>
      <c r="F33" s="552"/>
      <c r="G33" s="552"/>
      <c r="H33" s="552"/>
      <c r="I33" s="552"/>
      <c r="J33" s="552"/>
      <c r="K33" s="552"/>
      <c r="L33" s="552"/>
      <c r="M33" s="552"/>
    </row>
    <row r="34" spans="1:16" s="572" customFormat="1" ht="18.75">
      <c r="A34" s="551"/>
      <c r="B34" s="552"/>
      <c r="C34" s="552"/>
      <c r="D34" s="552"/>
      <c r="E34" s="552"/>
      <c r="F34" s="552"/>
      <c r="G34" s="552"/>
      <c r="H34" s="552"/>
      <c r="I34" s="714"/>
      <c r="J34" s="552"/>
      <c r="K34" s="552"/>
      <c r="L34" s="552"/>
      <c r="M34" s="554"/>
    </row>
    <row r="35" spans="1:16" s="572" customFormat="1" ht="18.75">
      <c r="A35" s="551" t="s">
        <v>681</v>
      </c>
      <c r="B35" s="556" t="s">
        <v>682</v>
      </c>
      <c r="C35" s="552"/>
      <c r="D35" s="552">
        <f>D4</f>
        <v>600</v>
      </c>
      <c r="E35" s="552" t="s">
        <v>683</v>
      </c>
      <c r="F35" s="552"/>
      <c r="G35" s="552"/>
      <c r="H35" s="552"/>
      <c r="I35" s="552"/>
      <c r="J35" s="552"/>
      <c r="K35" s="552"/>
      <c r="L35" s="552"/>
      <c r="M35" s="563">
        <f>M31+M20</f>
        <v>3128.6024485714283</v>
      </c>
      <c r="P35" s="576"/>
    </row>
    <row r="36" spans="1:16" s="572" customFormat="1" ht="18.75">
      <c r="A36" s="551" t="s">
        <v>684</v>
      </c>
      <c r="B36" s="552" t="s">
        <v>1001</v>
      </c>
      <c r="C36" s="552"/>
      <c r="D36" s="552"/>
      <c r="E36" s="552"/>
      <c r="F36" s="552"/>
      <c r="G36" s="552"/>
      <c r="H36" s="552"/>
      <c r="I36" s="552"/>
      <c r="J36" s="552"/>
      <c r="K36" s="552"/>
      <c r="L36" s="552"/>
      <c r="M36" s="554">
        <f>126.21+15*6.05</f>
        <v>216.95999999999998</v>
      </c>
      <c r="O36" s="572" t="s">
        <v>685</v>
      </c>
    </row>
    <row r="37" spans="1:16" s="572" customFormat="1" ht="18.75">
      <c r="A37" s="551"/>
      <c r="B37" s="552"/>
      <c r="C37" s="552"/>
      <c r="D37" s="552"/>
      <c r="E37" s="552"/>
      <c r="F37" s="552"/>
      <c r="G37" s="552"/>
      <c r="H37" s="552"/>
      <c r="I37" s="552"/>
      <c r="J37" s="552"/>
      <c r="K37" s="1591" t="s">
        <v>686</v>
      </c>
      <c r="L37" s="1591"/>
      <c r="M37" s="563">
        <f>SUM(M35:M36)</f>
        <v>3345.5624485714284</v>
      </c>
    </row>
    <row r="38" spans="1:16" s="572" customFormat="1" ht="18.75">
      <c r="A38" s="551" t="s">
        <v>687</v>
      </c>
      <c r="B38" s="569">
        <v>0.13614999999999999</v>
      </c>
      <c r="C38" s="552" t="s">
        <v>688</v>
      </c>
      <c r="D38" s="552"/>
      <c r="E38" s="552"/>
      <c r="F38" s="552"/>
      <c r="G38" s="552"/>
      <c r="H38" s="552"/>
      <c r="I38" s="552"/>
      <c r="J38" s="552"/>
      <c r="K38" s="552"/>
      <c r="L38" s="552"/>
      <c r="M38" s="554">
        <f>M37*13.615%</f>
        <v>455.49832737299994</v>
      </c>
    </row>
    <row r="39" spans="1:16" s="572" customFormat="1" ht="18.75">
      <c r="A39" s="551" t="s">
        <v>689</v>
      </c>
      <c r="B39" s="552" t="s">
        <v>690</v>
      </c>
      <c r="C39" s="552"/>
      <c r="D39" s="552"/>
      <c r="E39" s="552"/>
      <c r="F39" s="552"/>
      <c r="G39" s="552"/>
      <c r="H39" s="552"/>
      <c r="I39" s="552"/>
      <c r="J39" s="552"/>
      <c r="K39" s="552"/>
      <c r="L39" s="552"/>
      <c r="M39" s="554">
        <f>H62</f>
        <v>463.90000000000003</v>
      </c>
    </row>
    <row r="40" spans="1:16" s="572" customFormat="1" ht="18.75">
      <c r="A40" s="551"/>
      <c r="B40" s="552"/>
      <c r="C40" s="552"/>
      <c r="D40" s="552"/>
      <c r="E40" s="552"/>
      <c r="F40" s="552"/>
      <c r="G40" s="552"/>
      <c r="H40" s="552"/>
      <c r="I40" s="552"/>
      <c r="J40" s="552"/>
      <c r="K40" s="552"/>
      <c r="L40" s="552" t="s">
        <v>651</v>
      </c>
      <c r="M40" s="563">
        <f>SUM(M37:M39)</f>
        <v>4264.960775944428</v>
      </c>
    </row>
    <row r="41" spans="1:16" s="572" customFormat="1" ht="18.75">
      <c r="A41" s="551"/>
      <c r="B41" s="552"/>
      <c r="C41" s="552"/>
      <c r="D41" s="552"/>
      <c r="E41" s="552"/>
      <c r="F41" s="552"/>
      <c r="G41" s="552"/>
      <c r="H41" s="552"/>
      <c r="I41" s="552"/>
      <c r="J41" s="552"/>
      <c r="K41" s="553" t="s">
        <v>691</v>
      </c>
      <c r="L41" s="553" t="s">
        <v>692</v>
      </c>
      <c r="M41" s="563">
        <f>CEILING(M40,0.05)</f>
        <v>4265</v>
      </c>
    </row>
    <row r="42" spans="1:16" s="572" customFormat="1" ht="18.75">
      <c r="A42" s="551"/>
      <c r="B42" s="552"/>
      <c r="C42" s="552"/>
      <c r="D42" s="552"/>
      <c r="E42" s="552"/>
      <c r="F42" s="552"/>
      <c r="G42" s="552"/>
      <c r="H42" s="552"/>
      <c r="I42" s="552"/>
      <c r="J42" s="552"/>
      <c r="K42" s="552"/>
      <c r="L42" s="552"/>
      <c r="M42" s="553" t="s">
        <v>693</v>
      </c>
    </row>
    <row r="43" spans="1:16">
      <c r="B43" s="571"/>
      <c r="C43" s="571"/>
      <c r="D43" s="571"/>
      <c r="E43" s="571"/>
      <c r="F43" s="571"/>
      <c r="G43" s="571"/>
      <c r="H43" s="571"/>
      <c r="I43" s="571"/>
      <c r="J43" s="571"/>
      <c r="K43" s="571"/>
      <c r="L43" s="571"/>
      <c r="M43" s="571"/>
    </row>
    <row r="44" spans="1:16" ht="18.75">
      <c r="A44" s="777"/>
      <c r="B44" s="552" t="s">
        <v>239</v>
      </c>
      <c r="C44" s="552"/>
      <c r="D44" s="552"/>
      <c r="E44" s="552"/>
      <c r="F44" s="552"/>
      <c r="G44" s="552"/>
      <c r="H44" s="552"/>
      <c r="I44" s="552"/>
      <c r="J44" s="552"/>
      <c r="K44" s="552"/>
      <c r="L44" s="552"/>
      <c r="M44" s="552"/>
    </row>
    <row r="45" spans="1:16" ht="54.75" customHeight="1">
      <c r="A45" s="777"/>
      <c r="B45" s="552"/>
      <c r="C45" s="1678" t="s">
        <v>694</v>
      </c>
      <c r="D45" s="1679"/>
      <c r="E45" s="1679"/>
      <c r="F45" s="1679"/>
      <c r="G45" s="1679"/>
      <c r="H45" s="1679"/>
      <c r="I45" s="1679"/>
      <c r="J45" s="1679"/>
      <c r="K45" s="1679"/>
      <c r="L45" s="1679"/>
      <c r="M45" s="1680"/>
    </row>
    <row r="46" spans="1:16" ht="18.75">
      <c r="A46" s="777"/>
      <c r="B46" s="552"/>
      <c r="C46" s="552" t="s">
        <v>241</v>
      </c>
      <c r="D46" s="552"/>
      <c r="E46" s="552"/>
      <c r="F46" s="552"/>
      <c r="G46" s="552"/>
      <c r="H46" s="552"/>
      <c r="I46" s="552"/>
      <c r="J46" s="552"/>
      <c r="K46" s="552"/>
      <c r="L46" s="552"/>
      <c r="M46" s="552"/>
    </row>
    <row r="47" spans="1:16" ht="18.75">
      <c r="A47" s="777"/>
      <c r="B47" s="552"/>
      <c r="C47" s="552" t="s">
        <v>695</v>
      </c>
      <c r="D47" s="552"/>
      <c r="E47" s="552"/>
      <c r="F47" s="552"/>
      <c r="G47" s="552"/>
      <c r="H47" s="552"/>
      <c r="I47" s="552"/>
      <c r="J47" s="552"/>
      <c r="K47" s="552"/>
      <c r="L47" s="552"/>
      <c r="M47" s="552"/>
    </row>
    <row r="48" spans="1:16" ht="18.75">
      <c r="A48" s="777"/>
      <c r="B48" s="552"/>
      <c r="C48" s="552">
        <f>D4</f>
        <v>600</v>
      </c>
      <c r="D48" s="552" t="s">
        <v>646</v>
      </c>
      <c r="E48" s="552"/>
      <c r="F48" s="552"/>
      <c r="G48" s="552"/>
      <c r="H48" s="552"/>
      <c r="I48" s="552"/>
      <c r="J48" s="552"/>
      <c r="K48" s="552"/>
      <c r="L48" s="552"/>
      <c r="M48" s="552"/>
    </row>
    <row r="49" spans="1:13" ht="18.75">
      <c r="A49" s="777"/>
      <c r="B49" s="552"/>
      <c r="C49" s="552" t="s">
        <v>697</v>
      </c>
      <c r="D49" s="552"/>
      <c r="E49" s="552" t="s">
        <v>698</v>
      </c>
      <c r="F49" s="552" t="s">
        <v>9</v>
      </c>
      <c r="G49" s="552" t="s">
        <v>294</v>
      </c>
      <c r="H49" s="552" t="s">
        <v>567</v>
      </c>
      <c r="I49" s="552"/>
      <c r="J49" s="552"/>
      <c r="K49" s="552"/>
      <c r="L49" s="552"/>
      <c r="M49" s="552"/>
    </row>
    <row r="50" spans="1:13" ht="18.75">
      <c r="A50" s="777"/>
      <c r="B50" s="552"/>
      <c r="C50" s="552" t="s">
        <v>279</v>
      </c>
      <c r="D50" s="552"/>
      <c r="E50" s="552">
        <v>2.75</v>
      </c>
      <c r="F50" s="552" t="s">
        <v>18</v>
      </c>
      <c r="G50" s="554">
        <f>'Lead Chart 24-25'!C64</f>
        <v>645</v>
      </c>
      <c r="H50" s="554">
        <f>E50*G50</f>
        <v>1773.75</v>
      </c>
      <c r="I50" s="552"/>
      <c r="J50" s="552"/>
      <c r="K50" s="552"/>
      <c r="L50" s="552"/>
      <c r="M50" s="552"/>
    </row>
    <row r="51" spans="1:13" ht="18.75">
      <c r="A51" s="777"/>
      <c r="B51" s="552"/>
      <c r="C51" s="552" t="s">
        <v>699</v>
      </c>
      <c r="D51" s="552"/>
      <c r="E51" s="552">
        <v>6.45</v>
      </c>
      <c r="F51" s="552" t="s">
        <v>18</v>
      </c>
      <c r="G51" s="554">
        <f>'Lead Chart 24-25'!C65</f>
        <v>615</v>
      </c>
      <c r="H51" s="554">
        <f t="shared" ref="H51:H56" si="0">E51*G51</f>
        <v>3966.75</v>
      </c>
      <c r="I51" s="552"/>
      <c r="J51" s="552"/>
      <c r="K51" s="552"/>
      <c r="L51" s="552"/>
      <c r="M51" s="552"/>
    </row>
    <row r="52" spans="1:13" ht="18.75">
      <c r="A52" s="777"/>
      <c r="B52" s="552"/>
      <c r="C52" s="552" t="s">
        <v>700</v>
      </c>
      <c r="D52" s="552"/>
      <c r="E52" s="552">
        <v>16.3</v>
      </c>
      <c r="F52" s="552" t="s">
        <v>18</v>
      </c>
      <c r="G52" s="554">
        <f>'Lead Chart 24-25'!C63</f>
        <v>575</v>
      </c>
      <c r="H52" s="554">
        <f t="shared" si="0"/>
        <v>9372.5</v>
      </c>
      <c r="I52" s="552"/>
      <c r="J52" s="552"/>
      <c r="K52" s="552"/>
      <c r="L52" s="552"/>
      <c r="M52" s="552"/>
    </row>
    <row r="53" spans="1:13" ht="18.75">
      <c r="A53" s="777"/>
      <c r="B53" s="552"/>
      <c r="C53" s="552" t="s">
        <v>701</v>
      </c>
      <c r="D53" s="552"/>
      <c r="E53" s="552">
        <v>3.3</v>
      </c>
      <c r="F53" s="552" t="s">
        <v>18</v>
      </c>
      <c r="G53" s="554">
        <f>G52</f>
        <v>575</v>
      </c>
      <c r="H53" s="554">
        <f t="shared" si="0"/>
        <v>1897.5</v>
      </c>
      <c r="I53" s="552"/>
      <c r="J53" s="552"/>
      <c r="K53" s="552"/>
      <c r="L53" s="552"/>
      <c r="M53" s="552"/>
    </row>
    <row r="54" spans="1:13" ht="18.75">
      <c r="A54" s="777"/>
      <c r="B54" s="552"/>
      <c r="C54" s="552"/>
      <c r="D54" s="552"/>
      <c r="E54" s="552"/>
      <c r="F54" s="552"/>
      <c r="G54" s="554"/>
      <c r="H54" s="554"/>
      <c r="I54" s="552"/>
      <c r="J54" s="552"/>
      <c r="K54" s="552"/>
      <c r="L54" s="552"/>
      <c r="M54" s="552"/>
    </row>
    <row r="55" spans="1:13" ht="18.75">
      <c r="A55" s="777"/>
      <c r="B55" s="552"/>
      <c r="C55" s="552" t="s">
        <v>702</v>
      </c>
      <c r="D55" s="552"/>
      <c r="E55" s="552"/>
      <c r="F55" s="552"/>
      <c r="G55" s="554"/>
      <c r="H55" s="554"/>
      <c r="I55" s="552"/>
      <c r="J55" s="552"/>
      <c r="K55" s="552"/>
      <c r="L55" s="552"/>
      <c r="M55" s="552"/>
    </row>
    <row r="56" spans="1:13" ht="18.75">
      <c r="A56" s="777"/>
      <c r="B56" s="552"/>
      <c r="C56" s="1669" t="s">
        <v>703</v>
      </c>
      <c r="D56" s="1669"/>
      <c r="E56" s="552">
        <v>40</v>
      </c>
      <c r="F56" s="552" t="s">
        <v>247</v>
      </c>
      <c r="G56" s="554">
        <v>442</v>
      </c>
      <c r="H56" s="554">
        <f t="shared" si="0"/>
        <v>17680</v>
      </c>
      <c r="I56" s="552"/>
      <c r="J56" s="552"/>
      <c r="K56" s="552"/>
      <c r="L56" s="552"/>
      <c r="M56" s="552"/>
    </row>
    <row r="57" spans="1:13" ht="10.5" customHeight="1">
      <c r="A57" s="777"/>
      <c r="B57" s="552"/>
      <c r="C57" s="552"/>
      <c r="D57" s="552"/>
      <c r="E57" s="552"/>
      <c r="F57" s="552"/>
      <c r="G57" s="552"/>
      <c r="H57" s="554"/>
      <c r="I57" s="552"/>
      <c r="J57" s="552"/>
      <c r="K57" s="552"/>
      <c r="L57" s="552"/>
      <c r="M57" s="552"/>
    </row>
    <row r="58" spans="1:13" ht="18.75">
      <c r="A58" s="777"/>
      <c r="B58" s="552"/>
      <c r="C58" s="552" t="s">
        <v>704</v>
      </c>
      <c r="D58" s="552"/>
      <c r="E58" s="552"/>
      <c r="F58" s="552"/>
      <c r="G58" s="552"/>
      <c r="H58" s="554">
        <f>1%*SUM(H50:H53)</f>
        <v>170.10499999999999</v>
      </c>
      <c r="I58" s="552"/>
      <c r="J58" s="552"/>
      <c r="K58" s="552"/>
      <c r="L58" s="552"/>
      <c r="M58" s="552"/>
    </row>
    <row r="59" spans="1:13" ht="18.75">
      <c r="A59" s="777"/>
      <c r="B59" s="552"/>
      <c r="C59" s="552" t="s">
        <v>705</v>
      </c>
      <c r="D59" s="552"/>
      <c r="E59" s="552"/>
      <c r="F59" s="552"/>
      <c r="G59" s="552"/>
      <c r="H59" s="554">
        <f>13.615%*SUM(H50:H56)</f>
        <v>4723.1115749999999</v>
      </c>
      <c r="I59" s="552"/>
      <c r="J59" s="552"/>
      <c r="K59" s="552"/>
      <c r="L59" s="552"/>
      <c r="M59" s="552"/>
    </row>
    <row r="60" spans="1:13" ht="18.75">
      <c r="A60" s="777"/>
      <c r="B60" s="552"/>
      <c r="C60" s="552" t="s">
        <v>706</v>
      </c>
      <c r="D60" s="552"/>
      <c r="E60" s="552"/>
      <c r="F60" s="552"/>
      <c r="G60" s="552"/>
      <c r="H60" s="554">
        <f>40%*SUM(H50:H53)</f>
        <v>6804.2000000000007</v>
      </c>
      <c r="I60" s="552"/>
      <c r="J60" s="552"/>
      <c r="K60" s="552"/>
      <c r="L60" s="552"/>
      <c r="M60" s="552"/>
    </row>
    <row r="61" spans="1:13" ht="18.75">
      <c r="A61" s="777"/>
      <c r="B61" s="552"/>
      <c r="C61" s="552" t="s">
        <v>707</v>
      </c>
      <c r="D61" s="552"/>
      <c r="E61" s="552"/>
      <c r="F61" s="552"/>
      <c r="G61" s="552"/>
      <c r="H61" s="554">
        <f>SUM(H50:H60)</f>
        <v>46387.91657500001</v>
      </c>
      <c r="I61" s="552"/>
      <c r="J61" s="552"/>
      <c r="K61" s="552"/>
      <c r="L61" s="552"/>
      <c r="M61" s="552"/>
    </row>
    <row r="62" spans="1:13" ht="18.75">
      <c r="A62" s="777"/>
      <c r="B62" s="552"/>
      <c r="C62" s="552" t="s">
        <v>708</v>
      </c>
      <c r="D62" s="552"/>
      <c r="E62" s="552"/>
      <c r="F62" s="552"/>
      <c r="G62" s="552"/>
      <c r="H62" s="554">
        <f>CEILING(H61/100,0.05)</f>
        <v>463.90000000000003</v>
      </c>
      <c r="I62" s="552"/>
      <c r="J62" s="552"/>
      <c r="K62" s="552"/>
      <c r="L62" s="552"/>
      <c r="M62" s="552"/>
    </row>
  </sheetData>
  <mergeCells count="13">
    <mergeCell ref="A1:M1"/>
    <mergeCell ref="A2:M2"/>
    <mergeCell ref="B8:G8"/>
    <mergeCell ref="C56:D56"/>
    <mergeCell ref="B20:H20"/>
    <mergeCell ref="B22:H22"/>
    <mergeCell ref="B28:G28"/>
    <mergeCell ref="H31:H32"/>
    <mergeCell ref="O11:T11"/>
    <mergeCell ref="F12:G12"/>
    <mergeCell ref="G17:G18"/>
    <mergeCell ref="K37:L37"/>
    <mergeCell ref="C45:M45"/>
  </mergeCells>
  <pageMargins left="0.7" right="0.7" top="0.75" bottom="0.75" header="0.3" footer="0.3"/>
  <pageSetup paperSize="9" scale="60" orientation="portrait" horizontalDpi="300" verticalDpi="300" r:id="rId1"/>
</worksheet>
</file>

<file path=xl/worksheets/sheet39.xml><?xml version="1.0" encoding="utf-8"?>
<worksheet xmlns="http://schemas.openxmlformats.org/spreadsheetml/2006/main" xmlns:r="http://schemas.openxmlformats.org/officeDocument/2006/relationships">
  <dimension ref="A1:F37"/>
  <sheetViews>
    <sheetView view="pageBreakPreview" topLeftCell="A10" zoomScaleSheetLayoutView="100" workbookViewId="0">
      <selection activeCell="C4" sqref="C4"/>
    </sheetView>
  </sheetViews>
  <sheetFormatPr defaultColWidth="9.140625" defaultRowHeight="15"/>
  <cols>
    <col min="1" max="1" width="6.85546875" style="578" bestFit="1" customWidth="1"/>
    <col min="2" max="2" width="47.7109375" style="528" customWidth="1"/>
    <col min="3" max="3" width="12.28515625" style="528" bestFit="1" customWidth="1"/>
    <col min="4" max="4" width="10.140625" style="528" bestFit="1" customWidth="1"/>
    <col min="5" max="5" width="9.5703125" style="528" bestFit="1" customWidth="1"/>
    <col min="6" max="6" width="14.7109375" style="528" customWidth="1"/>
    <col min="7" max="16384" width="9.140625" style="528"/>
  </cols>
  <sheetData>
    <row r="1" spans="1:6" ht="33.75" customHeight="1">
      <c r="A1" s="1681" t="s">
        <v>727</v>
      </c>
      <c r="B1" s="1681"/>
      <c r="C1" s="1681"/>
      <c r="D1" s="1681"/>
      <c r="E1" s="1681"/>
      <c r="F1" s="1681"/>
    </row>
    <row r="2" spans="1:6" ht="15.75">
      <c r="A2" s="529" t="s">
        <v>728</v>
      </c>
      <c r="B2" s="530" t="s">
        <v>100</v>
      </c>
      <c r="C2" s="530" t="s">
        <v>9</v>
      </c>
      <c r="D2" s="530" t="s">
        <v>159</v>
      </c>
      <c r="E2" s="531" t="s">
        <v>294</v>
      </c>
      <c r="F2" s="531" t="s">
        <v>567</v>
      </c>
    </row>
    <row r="3" spans="1:6" ht="148.5" customHeight="1">
      <c r="A3" s="532">
        <v>1</v>
      </c>
      <c r="B3" s="533" t="str">
        <f>'[45] Estimate'!B6:I6</f>
        <v>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 Mechanical  Means including Seigniorage Charges</v>
      </c>
      <c r="C3" s="534"/>
      <c r="D3" s="535"/>
      <c r="E3" s="536"/>
      <c r="F3" s="535"/>
    </row>
    <row r="4" spans="1:6" ht="15.75">
      <c r="A4" s="532"/>
      <c r="B4" s="536"/>
      <c r="C4" s="535" t="e">
        <f>' Estimate'!#REF!</f>
        <v>#REF!</v>
      </c>
      <c r="D4" s="536" t="s">
        <v>109</v>
      </c>
      <c r="E4" s="535" t="e">
        <f>' Estimate'!#REF!</f>
        <v>#REF!</v>
      </c>
      <c r="F4" s="535" t="e">
        <f>C4*E4</f>
        <v>#REF!</v>
      </c>
    </row>
    <row r="5" spans="1:6" ht="126">
      <c r="A5" s="532">
        <v>2</v>
      </c>
      <c r="B5" s="533" t="str">
        <f>'[45] Estimate'!B26:I26</f>
        <v xml:space="preserve">Excavation for roadway in hard rock  with controlled  blasting by drilling, blasting and breaking, trimming of bottom and side slopes in accordance with requirements of lines, grades and cross-sections, loading and disposal of cut rock with all lifts and leads upto 1000 m  as per Technical Specification Clause 302.3.5 MORD / 301 MORTH including Seigniorage Charges </v>
      </c>
      <c r="C5" s="536"/>
      <c r="D5" s="536"/>
      <c r="E5" s="536"/>
      <c r="F5" s="535"/>
    </row>
    <row r="6" spans="1:6" ht="15.75">
      <c r="A6" s="532"/>
      <c r="B6" s="536"/>
      <c r="C6" s="535" t="e">
        <f>' Estimate'!#REF!</f>
        <v>#REF!</v>
      </c>
      <c r="D6" s="536" t="s">
        <v>109</v>
      </c>
      <c r="E6" s="535" t="e">
        <f>' Estimate'!#REF!</f>
        <v>#REF!</v>
      </c>
      <c r="F6" s="535" t="e">
        <f>C6*E6</f>
        <v>#REF!</v>
      </c>
    </row>
    <row r="7" spans="1:6" ht="110.25">
      <c r="A7" s="532">
        <v>3</v>
      </c>
      <c r="B7" s="533" t="str">
        <f>'[45] Estimate'!B30:I30</f>
        <v>BLD-CSTN-2-8 (16): Collection ,Supply  and filling of Robo Sand from approved quarry to work site and stacking at work site to Dept. gauge for premeasurements    including cost and convenyance of all material and all labour charges etc. complete as per standard specifications. Clause 305.3.9 MORD &amp; 304 MORTH</v>
      </c>
      <c r="C7" s="535"/>
      <c r="D7" s="536"/>
      <c r="E7" s="535"/>
      <c r="F7" s="535"/>
    </row>
    <row r="8" spans="1:6" ht="15.75">
      <c r="A8" s="532"/>
      <c r="B8" s="536"/>
      <c r="C8" s="535" t="e">
        <f>' Estimate'!#REF!</f>
        <v>#REF!</v>
      </c>
      <c r="D8" s="536" t="s">
        <v>109</v>
      </c>
      <c r="E8" s="535" t="e">
        <f>' Estimate'!#REF!</f>
        <v>#REF!</v>
      </c>
      <c r="F8" s="535" t="e">
        <f>C8*E8</f>
        <v>#REF!</v>
      </c>
    </row>
    <row r="9" spans="1:6" ht="31.5">
      <c r="A9" s="532">
        <v>4</v>
      </c>
      <c r="B9" s="533" t="str">
        <f>'[45] Estimate'!B39:I39</f>
        <v>Refilling with excavated earth including watering, raming and all labour charges etc … complete</v>
      </c>
      <c r="C9" s="535"/>
      <c r="D9" s="536"/>
      <c r="E9" s="535"/>
      <c r="F9" s="535"/>
    </row>
    <row r="10" spans="1:6" ht="15.75">
      <c r="A10" s="532"/>
      <c r="B10" s="536"/>
      <c r="C10" s="535" t="e">
        <f>' Estimate'!#REF!</f>
        <v>#REF!</v>
      </c>
      <c r="D10" s="536" t="s">
        <v>109</v>
      </c>
      <c r="E10" s="535" t="e">
        <f>' Estimate'!#REF!</f>
        <v>#REF!</v>
      </c>
      <c r="F10" s="535" t="e">
        <f>C10*E10</f>
        <v>#REF!</v>
      </c>
    </row>
    <row r="11" spans="1:6" ht="78.75">
      <c r="A11" s="532">
        <v>5</v>
      </c>
      <c r="B11" s="533" t="str">
        <f>'[45] Estimate'!B48:H48</f>
        <v>Carting of surplus excavated earth from the site to a distance suitable including loading, unloading charges, cost &amp; conveyance, dumping, labour charges, all leads &amp; lifts and other incidental and operational charges etc., complete.</v>
      </c>
      <c r="C11" s="536"/>
      <c r="D11" s="536"/>
      <c r="E11" s="536"/>
      <c r="F11" s="535"/>
    </row>
    <row r="12" spans="1:6" ht="15.75">
      <c r="A12" s="532"/>
      <c r="B12" s="536"/>
      <c r="C12" s="535" t="e">
        <f>' Estimate'!#REF!</f>
        <v>#REF!</v>
      </c>
      <c r="D12" s="536" t="s">
        <v>109</v>
      </c>
      <c r="E12" s="535" t="e">
        <f>' Estimate'!#REF!</f>
        <v>#REF!</v>
      </c>
      <c r="F12" s="535" t="e">
        <f>C12*E12</f>
        <v>#REF!</v>
      </c>
    </row>
    <row r="13" spans="1:6" ht="99.75" customHeight="1">
      <c r="A13" s="532">
        <v>6</v>
      </c>
      <c r="B13" s="579" t="s">
        <v>729</v>
      </c>
      <c r="C13" s="533"/>
      <c r="D13" s="533"/>
      <c r="E13" s="533"/>
      <c r="F13" s="537"/>
    </row>
    <row r="14" spans="1:6" ht="15.75">
      <c r="A14" s="532"/>
      <c r="B14" s="536"/>
      <c r="C14" s="535" t="e">
        <f>' Estimate'!#REF!</f>
        <v>#REF!</v>
      </c>
      <c r="D14" s="536" t="s">
        <v>557</v>
      </c>
      <c r="E14" s="535" t="e">
        <f>' Estimate'!#REF!</f>
        <v>#REF!</v>
      </c>
      <c r="F14" s="535" t="e">
        <f>C14*E14</f>
        <v>#REF!</v>
      </c>
    </row>
    <row r="15" spans="1:6" ht="94.5">
      <c r="A15" s="532">
        <v>7</v>
      </c>
      <c r="B15" s="579" t="s">
        <v>730</v>
      </c>
      <c r="C15" s="536"/>
      <c r="D15" s="536"/>
      <c r="E15" s="536"/>
      <c r="F15" s="535"/>
    </row>
    <row r="16" spans="1:6" ht="15.75">
      <c r="A16" s="532"/>
      <c r="B16" s="536"/>
      <c r="C16" s="535" t="e">
        <f>' Estimate'!#REF!</f>
        <v>#REF!</v>
      </c>
      <c r="D16" s="536" t="s">
        <v>557</v>
      </c>
      <c r="E16" s="535" t="e">
        <f>' Estimate'!#REF!</f>
        <v>#REF!</v>
      </c>
      <c r="F16" s="535" t="e">
        <f>C16*E16</f>
        <v>#REF!</v>
      </c>
    </row>
    <row r="17" spans="1:6" ht="94.5">
      <c r="A17" s="532">
        <v>8</v>
      </c>
      <c r="B17" s="579" t="s">
        <v>731</v>
      </c>
      <c r="C17" s="536"/>
      <c r="D17" s="536"/>
      <c r="E17" s="536"/>
      <c r="F17" s="535"/>
    </row>
    <row r="18" spans="1:6" ht="15.75">
      <c r="A18" s="532"/>
      <c r="B18" s="536"/>
      <c r="C18" s="535" t="e">
        <f>' Estimate'!#REF!</f>
        <v>#REF!</v>
      </c>
      <c r="D18" s="536" t="s">
        <v>557</v>
      </c>
      <c r="E18" s="535" t="e">
        <f>' Estimate'!#REF!</f>
        <v>#REF!</v>
      </c>
      <c r="F18" s="535" t="e">
        <f>C18*E18</f>
        <v>#REF!</v>
      </c>
    </row>
    <row r="19" spans="1:6" ht="94.5">
      <c r="A19" s="532">
        <v>9</v>
      </c>
      <c r="B19" s="579" t="s">
        <v>753</v>
      </c>
      <c r="C19" s="536"/>
      <c r="D19" s="536"/>
      <c r="E19" s="536"/>
      <c r="F19" s="535"/>
    </row>
    <row r="20" spans="1:6" ht="15.75">
      <c r="A20" s="532"/>
      <c r="B20" s="536"/>
      <c r="C20" s="535" t="e">
        <f>' Estimate'!#REF!</f>
        <v>#REF!</v>
      </c>
      <c r="D20" s="536" t="s">
        <v>557</v>
      </c>
      <c r="E20" s="535" t="e">
        <f>' Estimate'!#REF!</f>
        <v>#REF!</v>
      </c>
      <c r="F20" s="535" t="e">
        <f>C20*E20</f>
        <v>#REF!</v>
      </c>
    </row>
    <row r="21" spans="1:6" ht="94.5">
      <c r="A21" s="532">
        <v>10</v>
      </c>
      <c r="B21" s="579" t="s">
        <v>754</v>
      </c>
      <c r="C21" s="536"/>
      <c r="D21" s="536"/>
      <c r="E21" s="536"/>
      <c r="F21" s="535"/>
    </row>
    <row r="22" spans="1:6" ht="15.75">
      <c r="A22" s="532"/>
      <c r="B22" s="536"/>
      <c r="C22" s="535" t="e">
        <f>' Estimate'!#REF!</f>
        <v>#REF!</v>
      </c>
      <c r="D22" s="536" t="s">
        <v>557</v>
      </c>
      <c r="E22" s="535" t="e">
        <f>' Estimate'!#REF!</f>
        <v>#REF!</v>
      </c>
      <c r="F22" s="535" t="e">
        <f>C22*E22</f>
        <v>#REF!</v>
      </c>
    </row>
    <row r="23" spans="1:6" ht="220.5">
      <c r="A23" s="532">
        <v>11</v>
      </c>
      <c r="B23" s="533" t="s">
        <v>732</v>
      </c>
      <c r="C23" s="536"/>
      <c r="D23" s="536"/>
      <c r="E23" s="536"/>
      <c r="F23" s="535"/>
    </row>
    <row r="24" spans="1:6" ht="15.75">
      <c r="A24" s="532"/>
      <c r="B24" s="536"/>
      <c r="C24" s="535" t="e">
        <f>' Estimate'!#REF!</f>
        <v>#REF!</v>
      </c>
      <c r="D24" s="536" t="s">
        <v>10</v>
      </c>
      <c r="E24" s="535" t="e">
        <f>' Estimate'!#REF!</f>
        <v>#REF!</v>
      </c>
      <c r="F24" s="535" t="e">
        <f>C24*E24</f>
        <v>#REF!</v>
      </c>
    </row>
    <row r="25" spans="1:6" ht="189">
      <c r="A25" s="532">
        <v>12</v>
      </c>
      <c r="B25" s="533" t="str">
        <f>'[45] Estimate'!B67:I67</f>
        <v>Construction of Additional manhole 0.10 M depth constructon  of 0.90 circular sewer man hole of 0.90 mts depth with   Fly Ash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25" s="536"/>
      <c r="D25" s="536"/>
      <c r="E25" s="536"/>
      <c r="F25" s="535"/>
    </row>
    <row r="26" spans="1:6" ht="15.75">
      <c r="A26" s="532"/>
      <c r="B26" s="536"/>
      <c r="C26" s="538" t="e">
        <f>' Estimate'!#REF!</f>
        <v>#REF!</v>
      </c>
      <c r="D26" s="536" t="s">
        <v>10</v>
      </c>
      <c r="E26" s="535" t="e">
        <f>' Estimate'!#REF!</f>
        <v>#REF!</v>
      </c>
      <c r="F26" s="535" t="e">
        <f>C26*E26</f>
        <v>#REF!</v>
      </c>
    </row>
    <row r="27" spans="1:6" ht="220.5">
      <c r="A27" s="532">
        <v>13</v>
      </c>
      <c r="B27" s="533" t="s">
        <v>733</v>
      </c>
      <c r="C27" s="536"/>
      <c r="D27" s="536"/>
      <c r="E27" s="536"/>
      <c r="F27" s="535"/>
    </row>
    <row r="28" spans="1:6" ht="15.75">
      <c r="A28" s="532"/>
      <c r="B28" s="536"/>
      <c r="C28" s="538" t="e">
        <f>' Estimate'!#REF!</f>
        <v>#REF!</v>
      </c>
      <c r="D28" s="536" t="s">
        <v>10</v>
      </c>
      <c r="E28" s="535" t="e">
        <f>' Estimate'!#REF!</f>
        <v>#REF!</v>
      </c>
      <c r="F28" s="535" t="e">
        <f>C28*E28</f>
        <v>#REF!</v>
      </c>
    </row>
    <row r="29" spans="1:6" ht="204.75" customHeight="1">
      <c r="A29" s="532">
        <v>14</v>
      </c>
      <c r="B29" s="533" t="s">
        <v>734</v>
      </c>
      <c r="C29" s="536"/>
      <c r="D29" s="536"/>
      <c r="E29" s="536"/>
      <c r="F29" s="535"/>
    </row>
    <row r="30" spans="1:6" ht="15.75">
      <c r="A30" s="532"/>
      <c r="B30" s="536"/>
      <c r="C30" s="538" t="e">
        <f>' Estimate'!#REF!</f>
        <v>#REF!</v>
      </c>
      <c r="D30" s="536" t="s">
        <v>10</v>
      </c>
      <c r="E30" s="535" t="e">
        <f>' Estimate'!#REF!</f>
        <v>#REF!</v>
      </c>
      <c r="F30" s="535" t="e">
        <f>C30*E30</f>
        <v>#REF!</v>
      </c>
    </row>
    <row r="31" spans="1:6" ht="202.5" customHeight="1">
      <c r="A31" s="532">
        <v>15</v>
      </c>
      <c r="B31" s="533" t="s">
        <v>735</v>
      </c>
      <c r="C31" s="536"/>
      <c r="D31" s="536"/>
      <c r="E31" s="536"/>
      <c r="F31" s="535"/>
    </row>
    <row r="32" spans="1:6" ht="15.75">
      <c r="A32" s="532"/>
      <c r="B32" s="536"/>
      <c r="C32" s="538" t="e">
        <f>' Estimate'!#REF!</f>
        <v>#REF!</v>
      </c>
      <c r="D32" s="536" t="s">
        <v>10</v>
      </c>
      <c r="E32" s="535" t="e">
        <f>' Estimate'!#REF!</f>
        <v>#REF!</v>
      </c>
      <c r="F32" s="535" t="e">
        <f>C32*E32</f>
        <v>#REF!</v>
      </c>
    </row>
    <row r="33" spans="1:6" ht="189">
      <c r="A33" s="532">
        <v>16</v>
      </c>
      <c r="B33" s="533" t="str">
        <f>'[45] Estimate'!B75:I75</f>
        <v xml:space="preserve"> Construction of Additional manhole 0.10 mt depth constructon  of 1.20 circular sewer man hole of 1.0 mts depth with Fly Ash   bricks in CM(1:6) Prop as per specification etc complete. benching / chanelling,internal plastreng with 20 mm thick cm 1:4 and External Plasterng with 12mm thick CM (1:4) with fine rendering including cost and fixing of CI steps and fixing FC/ CI cover and frame but excluding the cost of cover and frame, including the cost and conveyance of all materials at site complete and curing for 21 days complete all taxes seignarage charges as per specification etc complete.</v>
      </c>
      <c r="C33" s="536"/>
      <c r="D33" s="536"/>
      <c r="E33" s="536"/>
      <c r="F33" s="535"/>
    </row>
    <row r="34" spans="1:6" ht="15.75">
      <c r="A34" s="532"/>
      <c r="B34" s="536"/>
      <c r="C34" s="538" t="e">
        <f>' Estimate'!#REF!</f>
        <v>#REF!</v>
      </c>
      <c r="D34" s="536" t="s">
        <v>10</v>
      </c>
      <c r="E34" s="535" t="e">
        <f>' Estimate'!#REF!</f>
        <v>#REF!</v>
      </c>
      <c r="F34" s="535" t="e">
        <f>C34*E34</f>
        <v>#REF!</v>
      </c>
    </row>
    <row r="35" spans="1:6" ht="86.25" customHeight="1">
      <c r="A35" s="532">
        <v>17</v>
      </c>
      <c r="B35" s="533" t="str">
        <f>'[45] Estimate'!B78:I78</f>
        <v>Manufacture as per BIS:12592 (Part 1&amp;2) Supply &amp; Delivery of manhole covers and frames H.D 35 with 560mm dia Clear Opening ISI marking anywhere in A.P., F.O.R. destination including, loading, un-loading &amp; stacking at site ., as applicable. I.S.I Mark</v>
      </c>
      <c r="C35" s="536"/>
      <c r="D35" s="536"/>
      <c r="E35" s="536"/>
      <c r="F35" s="535"/>
    </row>
    <row r="36" spans="1:6" ht="15.75">
      <c r="A36" s="532"/>
      <c r="B36" s="536"/>
      <c r="C36" s="535" t="e">
        <f>' Estimate'!#REF!</f>
        <v>#REF!</v>
      </c>
      <c r="D36" s="536" t="s">
        <v>736</v>
      </c>
      <c r="E36" s="535" t="e">
        <f>' Estimate'!#REF!</f>
        <v>#REF!</v>
      </c>
      <c r="F36" s="535" t="e">
        <f>C36*E36</f>
        <v>#REF!</v>
      </c>
    </row>
    <row r="37" spans="1:6" ht="15.75">
      <c r="A37" s="577"/>
      <c r="B37" s="1682" t="s">
        <v>737</v>
      </c>
      <c r="C37" s="1682"/>
      <c r="D37" s="1682"/>
      <c r="E37" s="1682"/>
      <c r="F37" s="539" t="e">
        <f>SUM(F3:F36)</f>
        <v>#REF!</v>
      </c>
    </row>
  </sheetData>
  <mergeCells count="2">
    <mergeCell ref="A1:F1"/>
    <mergeCell ref="B37:E37"/>
  </mergeCells>
  <pageMargins left="0.7" right="0.7" top="0.75" bottom="0.75" header="0.3" footer="0.3"/>
  <pageSetup paperSize="9" scale="82" orientation="portrait" horizontalDpi="300" verticalDpi="300" r:id="rId1"/>
  <rowBreaks count="2" manualBreakCount="2">
    <brk id="26" max="5" man="1"/>
    <brk id="34" max="16383" man="1"/>
  </rowBreaks>
</worksheet>
</file>

<file path=xl/worksheets/sheet40.xml><?xml version="1.0" encoding="utf-8"?>
<worksheet xmlns="http://schemas.openxmlformats.org/spreadsheetml/2006/main" xmlns:r="http://schemas.openxmlformats.org/officeDocument/2006/relationships">
  <dimension ref="A1"/>
  <sheetViews>
    <sheetView workbookViewId="0">
      <selection activeCell="K36" sqref="K36"/>
    </sheetView>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40</vt:i4>
      </vt:variant>
      <vt:variant>
        <vt:lpstr>Named Ranges</vt:lpstr>
      </vt:variant>
      <vt:variant>
        <vt:i4>35</vt:i4>
      </vt:variant>
    </vt:vector>
  </HeadingPairs>
  <TitlesOfParts>
    <vt:vector size="75" baseType="lpstr">
      <vt:lpstr>Inspection chambers</vt:lpstr>
      <vt:lpstr>NP 3 450 mm dia (2)</vt:lpstr>
      <vt:lpstr>Man Hole data 0.75m-0.90m1.20m</vt:lpstr>
      <vt:lpstr>Cover</vt:lpstr>
      <vt:lpstr>Laying Jointing of RCC SS pipe </vt:lpstr>
      <vt:lpstr>Cover pg</vt:lpstr>
      <vt:lpstr>inspection report</vt:lpstr>
      <vt:lpstr>Spec Report</vt:lpstr>
      <vt:lpstr>Longitudinal Section</vt:lpstr>
      <vt:lpstr>Long Sect 2</vt:lpstr>
      <vt:lpstr>Key map</vt:lpstr>
      <vt:lpstr>Schedule A</vt:lpstr>
      <vt:lpstr>Final Estimate</vt:lpstr>
      <vt:lpstr>Seignorage Calculation</vt:lpstr>
      <vt:lpstr> Estimate</vt:lpstr>
      <vt:lpstr>Man hole with 2nd Class  Bricks</vt:lpstr>
      <vt:lpstr> Brickwork Manhole </vt:lpstr>
      <vt:lpstr>Lead</vt:lpstr>
      <vt:lpstr>Conveyance</vt:lpstr>
      <vt:lpstr>SPC</vt:lpstr>
      <vt:lpstr>EXTRA SHEET</vt:lpstr>
      <vt:lpstr>Sheet2</vt:lpstr>
      <vt:lpstr>Sheet1</vt:lpstr>
      <vt:lpstr> Conv 19_20</vt:lpstr>
      <vt:lpstr>Datas P7</vt:lpstr>
      <vt:lpstr>Cost of RCC NP2-NP3 SS pipes </vt:lpstr>
      <vt:lpstr>pipes</vt:lpstr>
      <vt:lpstr>stoneware pipes</vt:lpstr>
      <vt:lpstr>Lead Chart 24-25</vt:lpstr>
      <vt:lpstr>Sheet4</vt:lpstr>
      <vt:lpstr>NP 3 800 mm dia (3)</vt:lpstr>
      <vt:lpstr>NP 3 1000 mm dia (4)</vt:lpstr>
      <vt:lpstr>NP 3 300</vt:lpstr>
      <vt:lpstr>NP 3 450 mm dia</vt:lpstr>
      <vt:lpstr>Abst Sht</vt:lpstr>
      <vt:lpstr>Lead 20-21</vt:lpstr>
      <vt:lpstr>Lead 20-21 P7</vt:lpstr>
      <vt:lpstr>NP 3 600</vt:lpstr>
      <vt:lpstr>BOQ</vt:lpstr>
      <vt:lpstr>Sheet6</vt:lpstr>
      <vt:lpstr>' Brickwork Manhole '!Print_Area</vt:lpstr>
      <vt:lpstr>' Conv 19_20'!Print_Area</vt:lpstr>
      <vt:lpstr>' Estimate'!Print_Area</vt:lpstr>
      <vt:lpstr>'Abst Sht'!Print_Area</vt:lpstr>
      <vt:lpstr>'Cost of RCC NP2-NP3 SS pipes '!Print_Area</vt:lpstr>
      <vt:lpstr>'Datas P7'!Print_Area</vt:lpstr>
      <vt:lpstr>'Final Estimate'!Print_Area</vt:lpstr>
      <vt:lpstr>'Inspection chambers'!Print_Area</vt:lpstr>
      <vt:lpstr>'Laying Jointing of RCC SS pipe '!Print_Area</vt:lpstr>
      <vt:lpstr>Lead!Print_Area</vt:lpstr>
      <vt:lpstr>'Lead 20-21'!Print_Area</vt:lpstr>
      <vt:lpstr>'Lead 20-21 P7'!Print_Area</vt:lpstr>
      <vt:lpstr>'Lead Chart 24-25'!Print_Area</vt:lpstr>
      <vt:lpstr>'Longitudinal Section'!Print_Area</vt:lpstr>
      <vt:lpstr>'Man Hole data 0.75m-0.90m1.20m'!Print_Area</vt:lpstr>
      <vt:lpstr>'Man hole with 2nd Class  Bricks'!Print_Area</vt:lpstr>
      <vt:lpstr>'NP 3 1000 mm dia (4)'!Print_Area</vt:lpstr>
      <vt:lpstr>'NP 3 300'!Print_Area</vt:lpstr>
      <vt:lpstr>'NP 3 450 mm dia'!Print_Area</vt:lpstr>
      <vt:lpstr>'NP 3 450 mm dia (2)'!Print_Area</vt:lpstr>
      <vt:lpstr>'NP 3 600'!Print_Area</vt:lpstr>
      <vt:lpstr>'NP 3 800 mm dia (3)'!Print_Area</vt:lpstr>
      <vt:lpstr>pipes!Print_Area</vt:lpstr>
      <vt:lpstr>'Schedule A'!Print_Area</vt:lpstr>
      <vt:lpstr>'Seignorage Calculation'!Print_Area</vt:lpstr>
      <vt:lpstr>Sheet4!Print_Area</vt:lpstr>
      <vt:lpstr>SPC!Print_Area</vt:lpstr>
      <vt:lpstr>'Spec Report'!Print_Area</vt:lpstr>
      <vt:lpstr>'stoneware pipes'!Print_Area</vt:lpstr>
      <vt:lpstr>' Brickwork Manhole '!Print_Titles</vt:lpstr>
      <vt:lpstr>'Cost of RCC NP2-NP3 SS pipes '!Print_Titles</vt:lpstr>
      <vt:lpstr>'Datas P7'!Print_Titles</vt:lpstr>
      <vt:lpstr>'Inspection chambers'!Print_Titles</vt:lpstr>
      <vt:lpstr>'Laying Jointing of RCC SS pipe '!Print_Titles</vt:lpstr>
      <vt:lpstr>'Man Hole data 0.75m-0.90m1.20m'!Print_Titles</vt:lpstr>
    </vt:vector>
  </TitlesOfParts>
  <Company>Acer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cp:lastPrinted>2024-12-20T10:11:21Z</cp:lastPrinted>
  <dcterms:created xsi:type="dcterms:W3CDTF">2010-06-08T07:01:25Z</dcterms:created>
  <dcterms:modified xsi:type="dcterms:W3CDTF">2024-12-20T10:12:39Z</dcterms:modified>
</cp:coreProperties>
</file>